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defaultThemeVersion="166925"/>
  <mc:AlternateContent xmlns:mc="http://schemas.openxmlformats.org/markup-compatibility/2006">
    <mc:Choice Requires="x15">
      <x15ac:absPath xmlns:x15ac="http://schemas.microsoft.com/office/spreadsheetml/2010/11/ac" url="/Users/gabrielng/Downloads/"/>
    </mc:Choice>
  </mc:AlternateContent>
  <xr:revisionPtr revIDLastSave="0" documentId="8_{C682A0FA-635D-8F40-8F40-53601B78F531}" xr6:coauthVersionLast="47" xr6:coauthVersionMax="47" xr10:uidLastSave="{00000000-0000-0000-0000-000000000000}"/>
  <bookViews>
    <workbookView xWindow="0" yWindow="740" windowWidth="30240" windowHeight="18900" firstSheet="2" activeTab="5" xr2:uid="{635DEBAA-3064-EB45-9CDC-5EC62B6E14E1}"/>
  </bookViews>
  <sheets>
    <sheet name="Key Stats" sheetId="1" r:id="rId1"/>
    <sheet name="Income Statement" sheetId="2" r:id="rId2"/>
    <sheet name="Balance Sheet" sheetId="3" r:id="rId3"/>
    <sheet name="Cash Flow" sheetId="4" r:id="rId4"/>
    <sheet name="Operating Assumptions &amp; Proj" sheetId="20" r:id="rId5"/>
    <sheet name="Ratio" sheetId="19" r:id="rId6"/>
    <sheet name="Input" sheetId="5" r:id="rId7"/>
    <sheet name="Dupont ROE" sheetId="6" r:id="rId8"/>
    <sheet name="EV" sheetId="15" r:id="rId9"/>
    <sheet name="AWC" sheetId="16" r:id="rId10"/>
    <sheet name="Debt Capacity" sheetId="17" r:id="rId11"/>
    <sheet name="DC Sensitivity Analysis" sheetId="21" r:id="rId12"/>
    <sheet name="6-Packs of Cash Flow" sheetId="18" r:id="rId13"/>
    <sheet name="Multiples" sheetId="7" r:id="rId14"/>
    <sheet name="Historical Capitalization" sheetId="8" r:id="rId15"/>
    <sheet name="Capital Structure Summary" sheetId="9" r:id="rId16"/>
    <sheet name="Ratios" sheetId="10" r:id="rId17"/>
    <sheet name="Supplemental" sheetId="11" r:id="rId18"/>
    <sheet name="Industry Specific" sheetId="12" r:id="rId19"/>
    <sheet name="Pension OPEB" sheetId="13" r:id="rId20"/>
    <sheet name="Segments" sheetId="14" r:id="rId21"/>
  </sheets>
  <calcPr calcId="191029" iterateDelta="9.999999999999445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5" l="1"/>
  <c r="B17" i="6"/>
  <c r="I75" i="20"/>
  <c r="H160" i="20"/>
  <c r="H159" i="20"/>
  <c r="H158" i="20"/>
  <c r="H149" i="20"/>
  <c r="H147" i="20"/>
  <c r="J147" i="20" s="1"/>
  <c r="H168" i="20"/>
  <c r="I152" i="20"/>
  <c r="H152" i="20"/>
  <c r="J109" i="20"/>
  <c r="K109" i="20" s="1"/>
  <c r="I109" i="20"/>
  <c r="D40" i="20"/>
  <c r="E40" i="20"/>
  <c r="F40" i="20"/>
  <c r="G40" i="20"/>
  <c r="C40" i="20"/>
  <c r="H172" i="20"/>
  <c r="G122" i="20"/>
  <c r="H6" i="6"/>
  <c r="I6" i="6"/>
  <c r="J6" i="6"/>
  <c r="K6" i="6"/>
  <c r="B6" i="6"/>
  <c r="B94" i="4"/>
  <c r="H6" i="19"/>
  <c r="I6" i="19"/>
  <c r="J6" i="19"/>
  <c r="K6" i="19"/>
  <c r="B1" i="19"/>
  <c r="A1" i="19"/>
  <c r="D9" i="21"/>
  <c r="C31" i="21"/>
  <c r="C34" i="21" s="1"/>
  <c r="E9" i="21"/>
  <c r="B7" i="21"/>
  <c r="C12" i="21" s="1"/>
  <c r="B6" i="21"/>
  <c r="F9" i="21" s="1"/>
  <c r="B4" i="21"/>
  <c r="B1" i="21"/>
  <c r="A1" i="21"/>
  <c r="I59" i="17"/>
  <c r="J59" i="17"/>
  <c r="K59" i="17"/>
  <c r="I60" i="17"/>
  <c r="J60" i="17"/>
  <c r="K60" i="17"/>
  <c r="I61" i="17"/>
  <c r="J61" i="17"/>
  <c r="K61" i="17"/>
  <c r="I62" i="17"/>
  <c r="J62" i="17"/>
  <c r="K62" i="17"/>
  <c r="I63" i="17"/>
  <c r="J63" i="17"/>
  <c r="K63" i="17"/>
  <c r="I48" i="17"/>
  <c r="J48" i="17"/>
  <c r="K48" i="17"/>
  <c r="I49" i="17"/>
  <c r="J49" i="17"/>
  <c r="K49" i="17"/>
  <c r="I50" i="17"/>
  <c r="J50" i="17"/>
  <c r="K50" i="17"/>
  <c r="I51" i="17"/>
  <c r="J51" i="17"/>
  <c r="K51" i="17"/>
  <c r="I52" i="17"/>
  <c r="J52" i="17"/>
  <c r="K52" i="17"/>
  <c r="I6" i="17"/>
  <c r="J6" i="17"/>
  <c r="K6" i="17"/>
  <c r="I7" i="17"/>
  <c r="J7" i="17"/>
  <c r="K7" i="17"/>
  <c r="I13" i="17"/>
  <c r="J13" i="17"/>
  <c r="K13" i="17"/>
  <c r="I14" i="17"/>
  <c r="J14" i="17"/>
  <c r="K14" i="17"/>
  <c r="H6" i="16"/>
  <c r="I6" i="16"/>
  <c r="J6" i="16"/>
  <c r="K6" i="16"/>
  <c r="H6" i="15"/>
  <c r="I7" i="15"/>
  <c r="J7" i="15"/>
  <c r="K7" i="15"/>
  <c r="I6" i="15"/>
  <c r="J6" i="15"/>
  <c r="K6" i="15"/>
  <c r="I8" i="6"/>
  <c r="J8" i="6"/>
  <c r="K8" i="6"/>
  <c r="I10" i="6"/>
  <c r="J10" i="6"/>
  <c r="K10" i="6"/>
  <c r="I7" i="6"/>
  <c r="J7" i="6"/>
  <c r="K7" i="6"/>
  <c r="C94" i="4"/>
  <c r="D94" i="4"/>
  <c r="E94" i="4"/>
  <c r="F94" i="4"/>
  <c r="G94" i="4"/>
  <c r="C92" i="4"/>
  <c r="D92" i="4"/>
  <c r="E92" i="4"/>
  <c r="F92" i="4"/>
  <c r="G92" i="4"/>
  <c r="B92" i="4"/>
  <c r="C90" i="4"/>
  <c r="D90" i="4"/>
  <c r="E90" i="4"/>
  <c r="F90" i="4"/>
  <c r="G90" i="4"/>
  <c r="B90" i="4"/>
  <c r="B87" i="4"/>
  <c r="D89" i="4"/>
  <c r="E89" i="4"/>
  <c r="F89" i="4"/>
  <c r="G89" i="4"/>
  <c r="C89" i="4"/>
  <c r="C87" i="4"/>
  <c r="D87" i="4"/>
  <c r="E87" i="4"/>
  <c r="F87" i="4"/>
  <c r="G87" i="4"/>
  <c r="A87" i="4"/>
  <c r="H104" i="5"/>
  <c r="I104" i="5"/>
  <c r="J104" i="5"/>
  <c r="K104" i="5"/>
  <c r="H112" i="5"/>
  <c r="I112" i="5"/>
  <c r="J112" i="5"/>
  <c r="K112" i="5"/>
  <c r="B92" i="20"/>
  <c r="K155" i="20"/>
  <c r="C155" i="20"/>
  <c r="D155" i="20"/>
  <c r="E155" i="20"/>
  <c r="F155" i="20"/>
  <c r="G155" i="20"/>
  <c r="H155" i="20"/>
  <c r="I155" i="20"/>
  <c r="J155" i="20"/>
  <c r="B155" i="20"/>
  <c r="C8" i="5"/>
  <c r="C6" i="6" s="1"/>
  <c r="D8" i="5"/>
  <c r="D6" i="6" s="1"/>
  <c r="E8" i="5"/>
  <c r="E6" i="6" s="1"/>
  <c r="F8" i="5"/>
  <c r="F6" i="6" s="1"/>
  <c r="G8" i="5"/>
  <c r="G6" i="19" s="1"/>
  <c r="B8" i="5"/>
  <c r="B185" i="20"/>
  <c r="C185" i="20"/>
  <c r="D185" i="20"/>
  <c r="E185" i="20"/>
  <c r="F185" i="20"/>
  <c r="G185" i="20"/>
  <c r="A185" i="20"/>
  <c r="A184" i="20"/>
  <c r="G97" i="20"/>
  <c r="H143" i="20"/>
  <c r="J143" i="20" s="1"/>
  <c r="K164" i="20"/>
  <c r="K163" i="20"/>
  <c r="J163" i="20"/>
  <c r="J154" i="20"/>
  <c r="K154" i="20" s="1"/>
  <c r="J156" i="20"/>
  <c r="K156" i="20" s="1"/>
  <c r="J157" i="20"/>
  <c r="K157" i="20" s="1"/>
  <c r="J158" i="20"/>
  <c r="K158" i="20" s="1"/>
  <c r="J159" i="20"/>
  <c r="K159" i="20" s="1"/>
  <c r="J160" i="20"/>
  <c r="K160" i="20" s="1"/>
  <c r="J153" i="20"/>
  <c r="K153" i="20" s="1"/>
  <c r="K144" i="20"/>
  <c r="K145" i="20"/>
  <c r="K146" i="20"/>
  <c r="K148" i="20"/>
  <c r="K149" i="20"/>
  <c r="J144" i="20"/>
  <c r="J145" i="20"/>
  <c r="J146" i="20"/>
  <c r="J148" i="20"/>
  <c r="J149" i="20"/>
  <c r="K143" i="20"/>
  <c r="I166" i="20"/>
  <c r="J166" i="20" s="1"/>
  <c r="I167" i="20"/>
  <c r="J167" i="20" s="1"/>
  <c r="I164" i="20"/>
  <c r="J164" i="20" s="1"/>
  <c r="I163" i="20"/>
  <c r="I154" i="20"/>
  <c r="I156" i="20"/>
  <c r="I157" i="20"/>
  <c r="I158" i="20"/>
  <c r="I159" i="20"/>
  <c r="I160" i="20"/>
  <c r="I153" i="20"/>
  <c r="I144" i="20"/>
  <c r="I145" i="20"/>
  <c r="I146" i="20"/>
  <c r="I148" i="20"/>
  <c r="I149" i="20"/>
  <c r="J38" i="20"/>
  <c r="K38" i="20"/>
  <c r="I38" i="20"/>
  <c r="J27" i="20"/>
  <c r="K27" i="20"/>
  <c r="I27" i="20"/>
  <c r="J24" i="20"/>
  <c r="K24" i="20"/>
  <c r="I24" i="20"/>
  <c r="J21" i="20"/>
  <c r="K21" i="20"/>
  <c r="I21" i="20"/>
  <c r="C35" i="20"/>
  <c r="D35" i="20"/>
  <c r="E35" i="20"/>
  <c r="F35" i="20"/>
  <c r="G35" i="20"/>
  <c r="B35" i="20"/>
  <c r="C34" i="20"/>
  <c r="D34" i="20"/>
  <c r="E34" i="20"/>
  <c r="F34" i="20"/>
  <c r="G34" i="20"/>
  <c r="B34" i="20"/>
  <c r="G32" i="20"/>
  <c r="I32" i="20" s="1"/>
  <c r="C32" i="20"/>
  <c r="D32" i="20"/>
  <c r="E32" i="20"/>
  <c r="F32" i="20"/>
  <c r="B32" i="20"/>
  <c r="C31" i="20"/>
  <c r="D31" i="20"/>
  <c r="E31" i="20"/>
  <c r="F31" i="20"/>
  <c r="G31" i="20"/>
  <c r="B31" i="20"/>
  <c r="F9" i="20"/>
  <c r="G4" i="20" s="1"/>
  <c r="B9" i="20"/>
  <c r="C5" i="20" s="1"/>
  <c r="B170" i="20"/>
  <c r="C170" i="20"/>
  <c r="D170" i="20"/>
  <c r="E170" i="20"/>
  <c r="F170" i="20"/>
  <c r="G170" i="20"/>
  <c r="B172" i="20"/>
  <c r="C172" i="20"/>
  <c r="D172" i="20"/>
  <c r="E172" i="20"/>
  <c r="F172" i="20"/>
  <c r="G172" i="20"/>
  <c r="B174" i="20"/>
  <c r="B178" i="20" s="1"/>
  <c r="C174" i="20"/>
  <c r="C178" i="20" s="1"/>
  <c r="D174" i="20"/>
  <c r="D178" i="20" s="1"/>
  <c r="E174" i="20"/>
  <c r="E178" i="20" s="1"/>
  <c r="F174" i="20"/>
  <c r="F178" i="20" s="1"/>
  <c r="G174" i="20"/>
  <c r="G178" i="20" s="1"/>
  <c r="B163" i="20"/>
  <c r="C163" i="20"/>
  <c r="D163" i="20"/>
  <c r="E163" i="20"/>
  <c r="F163" i="20"/>
  <c r="G163" i="20"/>
  <c r="B164" i="20"/>
  <c r="C164" i="20"/>
  <c r="D164" i="20"/>
  <c r="E164" i="20"/>
  <c r="F164" i="20"/>
  <c r="G164" i="20"/>
  <c r="B165" i="20"/>
  <c r="C165" i="20"/>
  <c r="D165" i="20"/>
  <c r="E165" i="20"/>
  <c r="F165" i="20"/>
  <c r="G165" i="20"/>
  <c r="B166" i="20"/>
  <c r="C166" i="20"/>
  <c r="D166" i="20"/>
  <c r="E166" i="20"/>
  <c r="F166" i="20"/>
  <c r="G166" i="20"/>
  <c r="B167" i="20"/>
  <c r="C167" i="20"/>
  <c r="D167" i="20"/>
  <c r="E167" i="20"/>
  <c r="F167" i="20"/>
  <c r="G167" i="20"/>
  <c r="B168" i="20"/>
  <c r="C168" i="20"/>
  <c r="D168" i="20"/>
  <c r="E168" i="20"/>
  <c r="F168" i="20"/>
  <c r="G168" i="20"/>
  <c r="B152" i="20"/>
  <c r="C152" i="20"/>
  <c r="D152" i="20"/>
  <c r="E152" i="20"/>
  <c r="F152" i="20"/>
  <c r="G152" i="20"/>
  <c r="B153" i="20"/>
  <c r="C153" i="20"/>
  <c r="D153" i="20"/>
  <c r="E153" i="20"/>
  <c r="F153" i="20"/>
  <c r="G153" i="20"/>
  <c r="B154" i="20"/>
  <c r="C154" i="20"/>
  <c r="D154" i="20"/>
  <c r="E154" i="20"/>
  <c r="F154" i="20"/>
  <c r="G154" i="20"/>
  <c r="B156" i="20"/>
  <c r="C156" i="20"/>
  <c r="D156" i="20"/>
  <c r="E156" i="20"/>
  <c r="F156" i="20"/>
  <c r="G156" i="20"/>
  <c r="B157" i="20"/>
  <c r="C157" i="20"/>
  <c r="D157" i="20"/>
  <c r="E157" i="20"/>
  <c r="F157" i="20"/>
  <c r="G157" i="20"/>
  <c r="B158" i="20"/>
  <c r="C158" i="20"/>
  <c r="D158" i="20"/>
  <c r="E158" i="20"/>
  <c r="F158" i="20"/>
  <c r="G158" i="20"/>
  <c r="B159" i="20"/>
  <c r="C159" i="20"/>
  <c r="D159" i="20"/>
  <c r="E159" i="20"/>
  <c r="F159" i="20"/>
  <c r="G159" i="20"/>
  <c r="B160" i="20"/>
  <c r="C160" i="20"/>
  <c r="D160" i="20"/>
  <c r="E160" i="20"/>
  <c r="F160" i="20"/>
  <c r="G160" i="20"/>
  <c r="B161" i="20"/>
  <c r="C161" i="20"/>
  <c r="D161" i="20"/>
  <c r="E161" i="20"/>
  <c r="F161" i="20"/>
  <c r="G161" i="20"/>
  <c r="B140" i="20"/>
  <c r="C140" i="20"/>
  <c r="D140" i="20"/>
  <c r="E140" i="20"/>
  <c r="F140" i="20"/>
  <c r="G140" i="20"/>
  <c r="H140" i="20" s="1"/>
  <c r="B141" i="20"/>
  <c r="C141" i="20"/>
  <c r="D141" i="20"/>
  <c r="E141" i="20"/>
  <c r="F141" i="20"/>
  <c r="G141" i="20"/>
  <c r="H141" i="20" s="1"/>
  <c r="B142" i="20"/>
  <c r="C142" i="20"/>
  <c r="D142" i="20"/>
  <c r="E142" i="20"/>
  <c r="F142" i="20"/>
  <c r="G142" i="20"/>
  <c r="B143" i="20"/>
  <c r="C143" i="20"/>
  <c r="D143" i="20"/>
  <c r="E143" i="20"/>
  <c r="F143" i="20"/>
  <c r="G143" i="20"/>
  <c r="B144" i="20"/>
  <c r="C144" i="20"/>
  <c r="D144" i="20"/>
  <c r="E144" i="20"/>
  <c r="F144" i="20"/>
  <c r="G144" i="20"/>
  <c r="B145" i="20"/>
  <c r="C145" i="20"/>
  <c r="D145" i="20"/>
  <c r="E145" i="20"/>
  <c r="F145" i="20"/>
  <c r="G145" i="20"/>
  <c r="B146" i="20"/>
  <c r="C146" i="20"/>
  <c r="D146" i="20"/>
  <c r="E146" i="20"/>
  <c r="F146" i="20"/>
  <c r="G146" i="20"/>
  <c r="B147" i="20"/>
  <c r="C147" i="20"/>
  <c r="D147" i="20"/>
  <c r="E147" i="20"/>
  <c r="F147" i="20"/>
  <c r="G147" i="20"/>
  <c r="B148" i="20"/>
  <c r="C148" i="20"/>
  <c r="D148" i="20"/>
  <c r="E148" i="20"/>
  <c r="F148" i="20"/>
  <c r="G148" i="20"/>
  <c r="B149" i="20"/>
  <c r="C149" i="20"/>
  <c r="D149" i="20"/>
  <c r="E149" i="20"/>
  <c r="F149" i="20"/>
  <c r="G149" i="20"/>
  <c r="B150" i="20"/>
  <c r="C150" i="20"/>
  <c r="D150" i="20"/>
  <c r="E150" i="20"/>
  <c r="F150" i="20"/>
  <c r="G150" i="20"/>
  <c r="B128" i="20"/>
  <c r="C128" i="20"/>
  <c r="D128" i="20"/>
  <c r="E128" i="20"/>
  <c r="F128" i="20"/>
  <c r="G128" i="20"/>
  <c r="H128" i="20" s="1"/>
  <c r="B129" i="20"/>
  <c r="C129" i="20"/>
  <c r="D129" i="20"/>
  <c r="E129" i="20"/>
  <c r="F129" i="20"/>
  <c r="G129" i="20"/>
  <c r="B130" i="20"/>
  <c r="C130" i="20"/>
  <c r="D130" i="20"/>
  <c r="E130" i="20"/>
  <c r="F130" i="20"/>
  <c r="G130" i="20"/>
  <c r="H130" i="20" s="1"/>
  <c r="I130" i="20" s="1"/>
  <c r="J130" i="20" s="1"/>
  <c r="K130" i="20" s="1"/>
  <c r="B131" i="20"/>
  <c r="C131" i="20"/>
  <c r="D131" i="20"/>
  <c r="E131" i="20"/>
  <c r="F131" i="20"/>
  <c r="G131" i="20"/>
  <c r="H131" i="20" s="1"/>
  <c r="B132" i="20"/>
  <c r="C132" i="20"/>
  <c r="D132" i="20"/>
  <c r="E132" i="20"/>
  <c r="F132" i="20"/>
  <c r="G132" i="20"/>
  <c r="H132" i="20" s="1"/>
  <c r="B133" i="20"/>
  <c r="C133" i="20"/>
  <c r="D133" i="20"/>
  <c r="E133" i="20"/>
  <c r="F133" i="20"/>
  <c r="G133" i="20"/>
  <c r="H133" i="20" s="1"/>
  <c r="B134" i="20"/>
  <c r="C134" i="20"/>
  <c r="D134" i="20"/>
  <c r="E134" i="20"/>
  <c r="F134" i="20"/>
  <c r="G134" i="20"/>
  <c r="I134" i="20" s="1"/>
  <c r="J134" i="20" s="1"/>
  <c r="K134" i="20" s="1"/>
  <c r="B135" i="20"/>
  <c r="C135" i="20"/>
  <c r="D135" i="20"/>
  <c r="E135" i="20"/>
  <c r="F135" i="20"/>
  <c r="G135" i="20"/>
  <c r="H135" i="20" s="1"/>
  <c r="B136" i="20"/>
  <c r="C136" i="20"/>
  <c r="D136" i="20"/>
  <c r="E136" i="20"/>
  <c r="F136" i="20"/>
  <c r="F44" i="20" s="1"/>
  <c r="G136" i="20"/>
  <c r="H136" i="20" s="1"/>
  <c r="I136" i="20" s="1"/>
  <c r="J136" i="20" s="1"/>
  <c r="K136" i="20" s="1"/>
  <c r="B137" i="20"/>
  <c r="B177" i="20" s="1"/>
  <c r="B179" i="20" s="1"/>
  <c r="C137" i="20"/>
  <c r="D137" i="20"/>
  <c r="D177" i="20" s="1"/>
  <c r="D179" i="20" s="1"/>
  <c r="E137" i="20"/>
  <c r="F137" i="20"/>
  <c r="G137" i="20"/>
  <c r="B124" i="20"/>
  <c r="C124" i="20"/>
  <c r="D124" i="20"/>
  <c r="E124" i="20"/>
  <c r="F124" i="20"/>
  <c r="G124" i="20"/>
  <c r="B125" i="20"/>
  <c r="C125" i="20"/>
  <c r="D125" i="20"/>
  <c r="E125" i="20"/>
  <c r="F125" i="20"/>
  <c r="G125" i="20"/>
  <c r="B126" i="20"/>
  <c r="C126" i="20"/>
  <c r="D126" i="20"/>
  <c r="E126" i="20"/>
  <c r="F126" i="20"/>
  <c r="G126" i="20"/>
  <c r="H124" i="20" s="1"/>
  <c r="H126" i="20" s="1"/>
  <c r="B117" i="20"/>
  <c r="C117" i="20"/>
  <c r="D117" i="20"/>
  <c r="E117" i="20"/>
  <c r="F117" i="20"/>
  <c r="G117" i="20"/>
  <c r="B118" i="20"/>
  <c r="C118" i="20"/>
  <c r="D118" i="20"/>
  <c r="E118" i="20"/>
  <c r="F118" i="20"/>
  <c r="G118" i="20"/>
  <c r="H118" i="20" s="1"/>
  <c r="B119" i="20"/>
  <c r="C119" i="20"/>
  <c r="D119" i="20"/>
  <c r="E119" i="20"/>
  <c r="F119" i="20"/>
  <c r="G119" i="20"/>
  <c r="H119" i="20" s="1"/>
  <c r="B120" i="20"/>
  <c r="C120" i="20"/>
  <c r="D120" i="20"/>
  <c r="E120" i="20"/>
  <c r="F120" i="20"/>
  <c r="G120" i="20"/>
  <c r="H120" i="20" s="1"/>
  <c r="B121" i="20"/>
  <c r="C121" i="20"/>
  <c r="D121" i="20"/>
  <c r="E121" i="20"/>
  <c r="F121" i="20"/>
  <c r="G121" i="20"/>
  <c r="I121" i="20" s="1"/>
  <c r="J121" i="20" s="1"/>
  <c r="K121" i="20" s="1"/>
  <c r="B122" i="20"/>
  <c r="C122" i="20"/>
  <c r="D122" i="20"/>
  <c r="E122" i="20"/>
  <c r="F122" i="20"/>
  <c r="B112" i="20"/>
  <c r="C112" i="20"/>
  <c r="D112" i="20"/>
  <c r="E112" i="20"/>
  <c r="F112" i="20"/>
  <c r="G112" i="20"/>
  <c r="H112" i="20" s="1"/>
  <c r="H115" i="20" s="1"/>
  <c r="B113" i="20"/>
  <c r="C113" i="20"/>
  <c r="D113" i="20"/>
  <c r="E113" i="20"/>
  <c r="F113" i="20"/>
  <c r="G113" i="20"/>
  <c r="H113" i="20" s="1"/>
  <c r="J113" i="20" s="1"/>
  <c r="B114" i="20"/>
  <c r="C114" i="20"/>
  <c r="D114" i="20"/>
  <c r="E114" i="20"/>
  <c r="F114" i="20"/>
  <c r="G114" i="20"/>
  <c r="H114" i="20" s="1"/>
  <c r="B115" i="20"/>
  <c r="C115" i="20"/>
  <c r="D115" i="20"/>
  <c r="E115" i="20"/>
  <c r="F115" i="20"/>
  <c r="G115" i="20"/>
  <c r="B109" i="20"/>
  <c r="C109" i="20"/>
  <c r="D109" i="20"/>
  <c r="E109" i="20"/>
  <c r="F109" i="20"/>
  <c r="G109" i="20"/>
  <c r="B110" i="20"/>
  <c r="C110" i="20"/>
  <c r="D110" i="20"/>
  <c r="E110" i="20"/>
  <c r="F110" i="20"/>
  <c r="G110" i="20"/>
  <c r="B108" i="20"/>
  <c r="C108" i="20"/>
  <c r="D108" i="20"/>
  <c r="E108" i="20"/>
  <c r="F108" i="20"/>
  <c r="G108" i="20"/>
  <c r="B106" i="20"/>
  <c r="C106" i="20"/>
  <c r="D106" i="20"/>
  <c r="E106" i="20"/>
  <c r="F106" i="20"/>
  <c r="G106" i="20"/>
  <c r="A105" i="20"/>
  <c r="A174" i="20"/>
  <c r="A172" i="20"/>
  <c r="A170" i="20"/>
  <c r="A157" i="20"/>
  <c r="A158" i="20"/>
  <c r="A159" i="20"/>
  <c r="A160" i="20"/>
  <c r="A161" i="20"/>
  <c r="A163" i="20"/>
  <c r="A164" i="20"/>
  <c r="A165" i="20"/>
  <c r="A166" i="20"/>
  <c r="A167" i="20"/>
  <c r="A168" i="20"/>
  <c r="A156" i="20"/>
  <c r="A145" i="20"/>
  <c r="A146" i="20"/>
  <c r="A147" i="20"/>
  <c r="A148" i="20"/>
  <c r="A149" i="20"/>
  <c r="A150" i="20"/>
  <c r="A152" i="20"/>
  <c r="A153" i="20"/>
  <c r="A139" i="20"/>
  <c r="A140" i="20"/>
  <c r="A141" i="20"/>
  <c r="A142" i="20"/>
  <c r="A143" i="20"/>
  <c r="A144" i="20"/>
  <c r="A114" i="20"/>
  <c r="A115" i="20"/>
  <c r="A117" i="20"/>
  <c r="A118" i="20"/>
  <c r="A119" i="20"/>
  <c r="A120" i="20"/>
  <c r="A121" i="20"/>
  <c r="A122" i="20"/>
  <c r="A124" i="20"/>
  <c r="A125" i="20"/>
  <c r="A126" i="20"/>
  <c r="A128" i="20"/>
  <c r="A129" i="20"/>
  <c r="A130" i="20"/>
  <c r="A131" i="20"/>
  <c r="A132" i="20"/>
  <c r="A133" i="20"/>
  <c r="A134" i="20"/>
  <c r="A135" i="20"/>
  <c r="A136" i="20"/>
  <c r="A137" i="20"/>
  <c r="A106" i="20"/>
  <c r="A107" i="20"/>
  <c r="A108" i="20"/>
  <c r="A109" i="20"/>
  <c r="A110" i="20"/>
  <c r="A112" i="20"/>
  <c r="A113" i="20"/>
  <c r="J75" i="20"/>
  <c r="K75" i="20"/>
  <c r="B50" i="20"/>
  <c r="C50" i="20"/>
  <c r="D50" i="20"/>
  <c r="E50" i="20"/>
  <c r="F50" i="20"/>
  <c r="G50" i="20"/>
  <c r="B52" i="20"/>
  <c r="C52" i="20"/>
  <c r="D52" i="20"/>
  <c r="E52" i="20"/>
  <c r="F52" i="20"/>
  <c r="G52" i="20"/>
  <c r="B53" i="20"/>
  <c r="C53" i="20"/>
  <c r="D53" i="20"/>
  <c r="E53" i="20"/>
  <c r="F53" i="20"/>
  <c r="G53" i="20"/>
  <c r="B54" i="20"/>
  <c r="C54" i="20"/>
  <c r="D54" i="20"/>
  <c r="E54" i="20"/>
  <c r="F54" i="20"/>
  <c r="G54" i="20"/>
  <c r="B55" i="20"/>
  <c r="C55" i="20"/>
  <c r="D55" i="20"/>
  <c r="E55" i="20"/>
  <c r="F55" i="20"/>
  <c r="G55" i="20"/>
  <c r="B56" i="20"/>
  <c r="C56" i="20"/>
  <c r="D56" i="20"/>
  <c r="E56" i="20"/>
  <c r="F56" i="20"/>
  <c r="G56" i="20"/>
  <c r="B58" i="20"/>
  <c r="C58" i="20"/>
  <c r="D58" i="20"/>
  <c r="E58" i="20"/>
  <c r="F58" i="20"/>
  <c r="G58" i="20"/>
  <c r="B59" i="20"/>
  <c r="C59" i="20"/>
  <c r="D59" i="20"/>
  <c r="E59" i="20"/>
  <c r="F59" i="20"/>
  <c r="G59" i="20"/>
  <c r="B60" i="20"/>
  <c r="C60" i="20"/>
  <c r="D60" i="20"/>
  <c r="E60" i="20"/>
  <c r="F60" i="20"/>
  <c r="G60" i="20"/>
  <c r="B61" i="20"/>
  <c r="C61" i="20"/>
  <c r="D61" i="20"/>
  <c r="E61" i="20"/>
  <c r="F61" i="20"/>
  <c r="G61" i="20"/>
  <c r="B62" i="20"/>
  <c r="C62" i="20"/>
  <c r="D62" i="20"/>
  <c r="E62" i="20"/>
  <c r="F62" i="20"/>
  <c r="G62" i="20"/>
  <c r="B64" i="20"/>
  <c r="C64" i="20"/>
  <c r="D64" i="20"/>
  <c r="E64" i="20"/>
  <c r="F64" i="20"/>
  <c r="G64" i="20"/>
  <c r="B65" i="20"/>
  <c r="C65" i="20"/>
  <c r="D65" i="20"/>
  <c r="E65" i="20"/>
  <c r="F65" i="20"/>
  <c r="G65" i="20"/>
  <c r="B66" i="20"/>
  <c r="C66" i="20"/>
  <c r="D66" i="20"/>
  <c r="E66" i="20"/>
  <c r="F66" i="20"/>
  <c r="G66" i="20"/>
  <c r="B67" i="20"/>
  <c r="C67" i="20"/>
  <c r="D67" i="20"/>
  <c r="E67" i="20"/>
  <c r="F67" i="20"/>
  <c r="G67" i="20"/>
  <c r="B69" i="20"/>
  <c r="C69" i="20"/>
  <c r="D69" i="20"/>
  <c r="E69" i="20"/>
  <c r="F69" i="20"/>
  <c r="G69" i="20"/>
  <c r="B71" i="20"/>
  <c r="C71" i="20"/>
  <c r="D71" i="20"/>
  <c r="E71" i="20"/>
  <c r="F71" i="20"/>
  <c r="G71" i="20"/>
  <c r="B73" i="20"/>
  <c r="C73" i="20"/>
  <c r="D73" i="20"/>
  <c r="E73" i="20"/>
  <c r="F73" i="20"/>
  <c r="G73" i="20"/>
  <c r="B74" i="20"/>
  <c r="C74" i="20"/>
  <c r="D74" i="20"/>
  <c r="E74" i="20"/>
  <c r="F74" i="20"/>
  <c r="G74" i="20"/>
  <c r="B75" i="20"/>
  <c r="C75" i="20"/>
  <c r="D75" i="20"/>
  <c r="E75" i="20"/>
  <c r="F75" i="20"/>
  <c r="G75" i="20"/>
  <c r="B77" i="20"/>
  <c r="C77" i="20"/>
  <c r="D77" i="20"/>
  <c r="E77" i="20"/>
  <c r="F77" i="20"/>
  <c r="G77" i="20"/>
  <c r="B78" i="20"/>
  <c r="C78" i="20"/>
  <c r="D78" i="20"/>
  <c r="E78" i="20"/>
  <c r="F78" i="20"/>
  <c r="G78" i="20"/>
  <c r="B79" i="20"/>
  <c r="C79" i="20"/>
  <c r="D79" i="20"/>
  <c r="E79" i="20"/>
  <c r="F79" i="20"/>
  <c r="G79" i="20"/>
  <c r="B81" i="20"/>
  <c r="C81" i="20"/>
  <c r="D81" i="20"/>
  <c r="E81" i="20"/>
  <c r="F81" i="20"/>
  <c r="G81" i="20"/>
  <c r="B82" i="20"/>
  <c r="C82" i="20"/>
  <c r="D82" i="20"/>
  <c r="E82" i="20"/>
  <c r="F82" i="20"/>
  <c r="G82" i="20"/>
  <c r="B83" i="20"/>
  <c r="C83" i="20"/>
  <c r="D83" i="20"/>
  <c r="E83" i="20"/>
  <c r="F83" i="20"/>
  <c r="G83" i="20"/>
  <c r="B84" i="20"/>
  <c r="C84" i="20"/>
  <c r="D84" i="20"/>
  <c r="E84" i="20"/>
  <c r="F84" i="20"/>
  <c r="G84" i="20"/>
  <c r="B85" i="20"/>
  <c r="C85" i="20"/>
  <c r="D85" i="20"/>
  <c r="E85" i="20"/>
  <c r="F85" i="20"/>
  <c r="G85" i="20"/>
  <c r="B86" i="20"/>
  <c r="C86" i="20"/>
  <c r="D86" i="20"/>
  <c r="E86" i="20"/>
  <c r="F86" i="20"/>
  <c r="G86" i="20"/>
  <c r="B87" i="20"/>
  <c r="C87" i="20"/>
  <c r="D87" i="20"/>
  <c r="E87" i="20"/>
  <c r="F87" i="20"/>
  <c r="G87" i="20"/>
  <c r="B88" i="20"/>
  <c r="C88" i="20"/>
  <c r="D88" i="20"/>
  <c r="E88" i="20"/>
  <c r="F88" i="20"/>
  <c r="G88" i="20"/>
  <c r="B89" i="20"/>
  <c r="C89" i="20"/>
  <c r="D89" i="20"/>
  <c r="E89" i="20"/>
  <c r="F89" i="20"/>
  <c r="G89" i="20"/>
  <c r="B90" i="20"/>
  <c r="C90" i="20"/>
  <c r="D90" i="20"/>
  <c r="E90" i="20"/>
  <c r="F90" i="20"/>
  <c r="G90" i="20"/>
  <c r="C92" i="20"/>
  <c r="D92" i="20"/>
  <c r="E92" i="20"/>
  <c r="F92" i="20"/>
  <c r="G92" i="20"/>
  <c r="B93" i="20"/>
  <c r="C93" i="20"/>
  <c r="D93" i="20"/>
  <c r="E93" i="20"/>
  <c r="F93" i="20"/>
  <c r="G93" i="20"/>
  <c r="B95" i="20"/>
  <c r="C95" i="20"/>
  <c r="D95" i="20"/>
  <c r="E95" i="20"/>
  <c r="F95" i="20"/>
  <c r="G95" i="20"/>
  <c r="B96" i="20"/>
  <c r="C96" i="20"/>
  <c r="D96" i="20"/>
  <c r="E96" i="20"/>
  <c r="F96" i="20"/>
  <c r="G96" i="20"/>
  <c r="B97" i="20"/>
  <c r="C97" i="20"/>
  <c r="D97" i="20"/>
  <c r="E97" i="20"/>
  <c r="F97" i="20"/>
  <c r="B99" i="20"/>
  <c r="C99" i="20"/>
  <c r="D99" i="20"/>
  <c r="E99" i="20"/>
  <c r="F99" i="20"/>
  <c r="G99" i="20"/>
  <c r="B100" i="20"/>
  <c r="C100" i="20"/>
  <c r="D100" i="20"/>
  <c r="E100" i="20"/>
  <c r="F100" i="20"/>
  <c r="G100" i="20"/>
  <c r="A100" i="20"/>
  <c r="A99" i="20"/>
  <c r="A95" i="20"/>
  <c r="A96" i="20"/>
  <c r="A97" i="20"/>
  <c r="A84" i="20"/>
  <c r="A85" i="20"/>
  <c r="A86" i="20"/>
  <c r="A87" i="20"/>
  <c r="A88" i="20"/>
  <c r="A89" i="20"/>
  <c r="A90" i="20"/>
  <c r="A92" i="20"/>
  <c r="A93" i="20"/>
  <c r="A60" i="20"/>
  <c r="A61" i="20"/>
  <c r="A62" i="20"/>
  <c r="A64" i="20"/>
  <c r="A65" i="20"/>
  <c r="A66" i="20"/>
  <c r="A67" i="20"/>
  <c r="A69" i="20"/>
  <c r="A71" i="20"/>
  <c r="A73" i="20"/>
  <c r="A74" i="20"/>
  <c r="A75" i="20"/>
  <c r="A77" i="20"/>
  <c r="A78" i="20"/>
  <c r="A79" i="20"/>
  <c r="A81" i="20"/>
  <c r="A82" i="20"/>
  <c r="A83" i="20"/>
  <c r="A50" i="20"/>
  <c r="A52" i="20"/>
  <c r="A53" i="20"/>
  <c r="A54" i="20"/>
  <c r="A55" i="20"/>
  <c r="A56" i="20"/>
  <c r="A58" i="20"/>
  <c r="A59" i="20"/>
  <c r="A49" i="20"/>
  <c r="K147" i="20" l="1"/>
  <c r="I147" i="20"/>
  <c r="H150" i="20"/>
  <c r="H161" i="20" s="1"/>
  <c r="H174" i="20" s="1"/>
  <c r="J18" i="5"/>
  <c r="B86" i="5"/>
  <c r="B24" i="5"/>
  <c r="H129" i="20"/>
  <c r="H137" i="20" s="1"/>
  <c r="B82" i="5"/>
  <c r="J22" i="5"/>
  <c r="B70" i="5"/>
  <c r="G6" i="6"/>
  <c r="J152" i="20"/>
  <c r="I113" i="20"/>
  <c r="I33" i="5"/>
  <c r="H29" i="5"/>
  <c r="K113" i="20"/>
  <c r="J65" i="5"/>
  <c r="J55" i="5"/>
  <c r="B78" i="5"/>
  <c r="I65" i="5"/>
  <c r="K39" i="5"/>
  <c r="J32" i="5"/>
  <c r="I22" i="5"/>
  <c r="H22" i="5"/>
  <c r="H53" i="5"/>
  <c r="I55" i="5"/>
  <c r="J58" i="5"/>
  <c r="J59" i="5" s="1"/>
  <c r="J39" i="5"/>
  <c r="J21" i="5"/>
  <c r="H21" i="5"/>
  <c r="H69" i="5"/>
  <c r="F55" i="5"/>
  <c r="I78" i="5"/>
  <c r="D76" i="5"/>
  <c r="D86" i="5"/>
  <c r="F76" i="5"/>
  <c r="F6" i="19"/>
  <c r="K38" i="5"/>
  <c r="G32" i="5"/>
  <c r="E86" i="5"/>
  <c r="E6" i="19"/>
  <c r="I37" i="5"/>
  <c r="K29" i="5"/>
  <c r="G21" i="5"/>
  <c r="G55" i="5"/>
  <c r="H58" i="5"/>
  <c r="H59" i="5" s="1"/>
  <c r="K55" i="5"/>
  <c r="H70" i="5"/>
  <c r="H49" i="5"/>
  <c r="H31" i="5"/>
  <c r="G58" i="5"/>
  <c r="G59" i="5" s="1"/>
  <c r="K22" i="5"/>
  <c r="I31" i="5"/>
  <c r="K33" i="5"/>
  <c r="J37" i="5"/>
  <c r="I42" i="5"/>
  <c r="I43" i="5" s="1"/>
  <c r="K49" i="5"/>
  <c r="I54" i="5"/>
  <c r="K65" i="5"/>
  <c r="E55" i="5"/>
  <c r="H37" i="5"/>
  <c r="I18" i="5"/>
  <c r="K23" i="5"/>
  <c r="K34" i="5"/>
  <c r="K50" i="5"/>
  <c r="K66" i="5"/>
  <c r="C55" i="5"/>
  <c r="B55" i="5"/>
  <c r="H65" i="5"/>
  <c r="H46" i="5"/>
  <c r="H47" i="5" s="1"/>
  <c r="H32" i="5"/>
  <c r="H12" i="5"/>
  <c r="H13" i="5" s="1"/>
  <c r="I23" i="5"/>
  <c r="J31" i="5"/>
  <c r="I34" i="5"/>
  <c r="K37" i="5"/>
  <c r="J42" i="5"/>
  <c r="J43" i="5" s="1"/>
  <c r="I50" i="5"/>
  <c r="J54" i="5"/>
  <c r="I66" i="5"/>
  <c r="I12" i="5"/>
  <c r="J29" i="5"/>
  <c r="J38" i="5"/>
  <c r="I58" i="5"/>
  <c r="I59" i="5" s="1"/>
  <c r="B54" i="5"/>
  <c r="D55" i="5"/>
  <c r="H66" i="5"/>
  <c r="H42" i="5"/>
  <c r="H43" i="5" s="1"/>
  <c r="H33" i="5"/>
  <c r="H18" i="5"/>
  <c r="J23" i="5"/>
  <c r="I29" i="5"/>
  <c r="K31" i="5"/>
  <c r="J34" i="5"/>
  <c r="K42" i="5"/>
  <c r="K43" i="5" s="1"/>
  <c r="J50" i="5"/>
  <c r="K54" i="5"/>
  <c r="J66" i="5"/>
  <c r="J12" i="5"/>
  <c r="H34" i="5"/>
  <c r="I21" i="5"/>
  <c r="I32" i="5"/>
  <c r="K12" i="5"/>
  <c r="H55" i="5"/>
  <c r="H54" i="5"/>
  <c r="H39" i="5"/>
  <c r="H26" i="5"/>
  <c r="H27" i="5" s="1"/>
  <c r="K18" i="5"/>
  <c r="K21" i="5"/>
  <c r="K32" i="5"/>
  <c r="I39" i="5"/>
  <c r="K58" i="5"/>
  <c r="K59" i="5" s="1"/>
  <c r="J69" i="5"/>
  <c r="J20" i="15" s="1"/>
  <c r="F177" i="20"/>
  <c r="F179" i="20" s="1"/>
  <c r="C81" i="5"/>
  <c r="C6" i="19"/>
  <c r="K69" i="5"/>
  <c r="K20" i="15" s="1"/>
  <c r="J49" i="5"/>
  <c r="H38" i="5"/>
  <c r="E177" i="20"/>
  <c r="E179" i="20" s="1"/>
  <c r="I69" i="5"/>
  <c r="I20" i="15" s="1"/>
  <c r="I49" i="5"/>
  <c r="J33" i="5"/>
  <c r="H17" i="5"/>
  <c r="H50" i="5"/>
  <c r="H117" i="20"/>
  <c r="G177" i="20"/>
  <c r="G179" i="20" s="1"/>
  <c r="D82" i="5"/>
  <c r="D6" i="19"/>
  <c r="C177" i="20"/>
  <c r="C179" i="20" s="1"/>
  <c r="B83" i="5"/>
  <c r="B6" i="19"/>
  <c r="G22" i="5"/>
  <c r="I64" i="17"/>
  <c r="C15" i="21"/>
  <c r="C11" i="21"/>
  <c r="C14" i="21"/>
  <c r="C13" i="21"/>
  <c r="C10" i="21"/>
  <c r="C30" i="21"/>
  <c r="C29" i="21"/>
  <c r="C32" i="21"/>
  <c r="C33" i="21"/>
  <c r="G9" i="21"/>
  <c r="F28" i="21"/>
  <c r="H9" i="21"/>
  <c r="J53" i="17"/>
  <c r="I53" i="17"/>
  <c r="K64" i="17"/>
  <c r="J64" i="17"/>
  <c r="K53" i="17"/>
  <c r="K152" i="20"/>
  <c r="K53" i="5" s="1"/>
  <c r="J53" i="5"/>
  <c r="B65" i="5"/>
  <c r="D65" i="5"/>
  <c r="D67" i="5"/>
  <c r="B69" i="5"/>
  <c r="F65" i="5"/>
  <c r="F69" i="5"/>
  <c r="F79" i="5"/>
  <c r="G42" i="5"/>
  <c r="G43" i="5" s="1"/>
  <c r="E65" i="5"/>
  <c r="E79" i="5"/>
  <c r="E67" i="5"/>
  <c r="B75" i="5"/>
  <c r="F83" i="5"/>
  <c r="B4" i="18"/>
  <c r="B43" i="18" s="1"/>
  <c r="E69" i="5"/>
  <c r="E75" i="5"/>
  <c r="B58" i="5"/>
  <c r="B67" i="5"/>
  <c r="E76" i="5"/>
  <c r="F81" i="5"/>
  <c r="E83" i="5"/>
  <c r="C58" i="5"/>
  <c r="E66" i="5"/>
  <c r="E81" i="5"/>
  <c r="G78" i="5"/>
  <c r="G76" i="5"/>
  <c r="G54" i="5"/>
  <c r="G31" i="5"/>
  <c r="G75" i="5"/>
  <c r="G53" i="5"/>
  <c r="G39" i="5"/>
  <c r="G30" i="5"/>
  <c r="G18" i="5"/>
  <c r="F66" i="5"/>
  <c r="D69" i="5"/>
  <c r="F75" i="5"/>
  <c r="B76" i="5"/>
  <c r="D79" i="5"/>
  <c r="D83" i="5"/>
  <c r="D81" i="5"/>
  <c r="G86" i="5"/>
  <c r="G70" i="5"/>
  <c r="G51" i="5"/>
  <c r="G38" i="5"/>
  <c r="G29" i="5"/>
  <c r="G17" i="5"/>
  <c r="G69" i="5"/>
  <c r="G37" i="5"/>
  <c r="G26" i="5"/>
  <c r="G27" i="5" s="1"/>
  <c r="G15" i="5"/>
  <c r="C70" i="5"/>
  <c r="C83" i="5"/>
  <c r="F58" i="5"/>
  <c r="C65" i="5"/>
  <c r="D66" i="5"/>
  <c r="F70" i="5"/>
  <c r="D75" i="5"/>
  <c r="F78" i="5"/>
  <c r="B79" i="5"/>
  <c r="F82" i="5"/>
  <c r="G82" i="5"/>
  <c r="G67" i="5"/>
  <c r="G49" i="5"/>
  <c r="G35" i="5"/>
  <c r="G24" i="5"/>
  <c r="C86" i="5"/>
  <c r="C69" i="5"/>
  <c r="G83" i="5"/>
  <c r="G50" i="5"/>
  <c r="E58" i="5"/>
  <c r="F67" i="5"/>
  <c r="C66" i="5"/>
  <c r="E70" i="5"/>
  <c r="C75" i="5"/>
  <c r="E78" i="5"/>
  <c r="B81" i="5"/>
  <c r="E82" i="5"/>
  <c r="F86" i="5"/>
  <c r="G81" i="5"/>
  <c r="G66" i="5"/>
  <c r="G46" i="5"/>
  <c r="G34" i="5"/>
  <c r="G23" i="5"/>
  <c r="C78" i="5"/>
  <c r="C82" i="5"/>
  <c r="C67" i="5"/>
  <c r="C76" i="5"/>
  <c r="C79" i="5"/>
  <c r="D58" i="5"/>
  <c r="B66" i="5"/>
  <c r="D70" i="5"/>
  <c r="D78" i="5"/>
  <c r="G79" i="5"/>
  <c r="G65" i="5"/>
  <c r="G33" i="5"/>
  <c r="C37" i="20"/>
  <c r="C38" i="20" s="1"/>
  <c r="C53" i="5"/>
  <c r="C44" i="20"/>
  <c r="G12" i="5"/>
  <c r="G13" i="5" s="1"/>
  <c r="E15" i="5"/>
  <c r="D18" i="5"/>
  <c r="D22" i="5"/>
  <c r="E29" i="5"/>
  <c r="B35" i="5"/>
  <c r="F33" i="5"/>
  <c r="D32" i="5"/>
  <c r="B31" i="5"/>
  <c r="B39" i="5"/>
  <c r="F38" i="5"/>
  <c r="C37" i="5"/>
  <c r="E50" i="5"/>
  <c r="E54" i="5"/>
  <c r="F12" i="5"/>
  <c r="D15" i="5"/>
  <c r="C18" i="5"/>
  <c r="B23" i="5"/>
  <c r="F23" i="5"/>
  <c r="C22" i="5"/>
  <c r="F26" i="5"/>
  <c r="D29" i="5"/>
  <c r="E33" i="5"/>
  <c r="C32" i="5"/>
  <c r="B38" i="5"/>
  <c r="E38" i="5"/>
  <c r="B42" i="5"/>
  <c r="F46" i="5"/>
  <c r="F51" i="5"/>
  <c r="D50" i="5"/>
  <c r="D54" i="5"/>
  <c r="C29" i="5"/>
  <c r="F34" i="5"/>
  <c r="D33" i="5"/>
  <c r="B32" i="5"/>
  <c r="F30" i="5"/>
  <c r="D38" i="5"/>
  <c r="C50" i="5"/>
  <c r="C54" i="5"/>
  <c r="D12" i="5"/>
  <c r="B17" i="5"/>
  <c r="F21" i="5"/>
  <c r="E34" i="5"/>
  <c r="C33" i="5"/>
  <c r="E30" i="5"/>
  <c r="F39" i="5"/>
  <c r="C38" i="5"/>
  <c r="F42" i="5"/>
  <c r="D46" i="5"/>
  <c r="D51" i="5"/>
  <c r="B50" i="5"/>
  <c r="C15" i="5"/>
  <c r="E26" i="5"/>
  <c r="D26" i="5"/>
  <c r="C12" i="5"/>
  <c r="B18" i="5"/>
  <c r="E17" i="5"/>
  <c r="F24" i="5"/>
  <c r="C23" i="5"/>
  <c r="E21" i="5"/>
  <c r="C26" i="5"/>
  <c r="F35" i="5"/>
  <c r="D34" i="5"/>
  <c r="B33" i="5"/>
  <c r="F31" i="5"/>
  <c r="D30" i="5"/>
  <c r="E39" i="5"/>
  <c r="E42" i="5"/>
  <c r="C46" i="5"/>
  <c r="F49" i="5"/>
  <c r="C51" i="5"/>
  <c r="B53" i="5"/>
  <c r="F53" i="5"/>
  <c r="E46" i="5"/>
  <c r="F17" i="5"/>
  <c r="B15" i="5"/>
  <c r="D17" i="5"/>
  <c r="E24" i="5"/>
  <c r="D21" i="5"/>
  <c r="B29" i="5"/>
  <c r="E35" i="5"/>
  <c r="C34" i="5"/>
  <c r="E31" i="5"/>
  <c r="C30" i="5"/>
  <c r="D39" i="5"/>
  <c r="F37" i="5"/>
  <c r="D42" i="5"/>
  <c r="E49" i="5"/>
  <c r="B51" i="5"/>
  <c r="E53" i="5"/>
  <c r="E23" i="5"/>
  <c r="E51" i="5"/>
  <c r="D23" i="5"/>
  <c r="F18" i="5"/>
  <c r="C17" i="5"/>
  <c r="D24" i="5"/>
  <c r="F22" i="5"/>
  <c r="C21" i="5"/>
  <c r="D35" i="5"/>
  <c r="B34" i="5"/>
  <c r="F32" i="5"/>
  <c r="D31" i="5"/>
  <c r="B30" i="5"/>
  <c r="C39" i="5"/>
  <c r="E37" i="5"/>
  <c r="C42" i="5"/>
  <c r="D49" i="5"/>
  <c r="D53" i="5"/>
  <c r="E12" i="5"/>
  <c r="B22" i="5"/>
  <c r="B49" i="5"/>
  <c r="B12" i="5"/>
  <c r="F15" i="5"/>
  <c r="E18" i="5"/>
  <c r="B21" i="5"/>
  <c r="C24" i="5"/>
  <c r="E22" i="5"/>
  <c r="B26" i="5"/>
  <c r="F29" i="5"/>
  <c r="C35" i="5"/>
  <c r="E32" i="5"/>
  <c r="C31" i="5"/>
  <c r="B37" i="5"/>
  <c r="D37" i="5"/>
  <c r="B46" i="5"/>
  <c r="C49" i="5"/>
  <c r="F50" i="5"/>
  <c r="F54" i="5"/>
  <c r="D42" i="20"/>
  <c r="I143" i="20"/>
  <c r="I38" i="5" s="1"/>
  <c r="C42" i="20"/>
  <c r="F42" i="20"/>
  <c r="D26" i="20"/>
  <c r="D27" i="20" s="1"/>
  <c r="D44" i="20"/>
  <c r="G44" i="20"/>
  <c r="E37" i="20"/>
  <c r="E38" i="20" s="1"/>
  <c r="F37" i="20"/>
  <c r="F38" i="20" s="1"/>
  <c r="E42" i="20"/>
  <c r="E44" i="20"/>
  <c r="H121" i="20"/>
  <c r="D37" i="20"/>
  <c r="D38" i="20" s="1"/>
  <c r="H109" i="20"/>
  <c r="G37" i="20"/>
  <c r="G38" i="20" s="1"/>
  <c r="H134" i="20"/>
  <c r="G42" i="20"/>
  <c r="B37" i="20"/>
  <c r="B38" i="20" s="1"/>
  <c r="F29" i="20"/>
  <c r="B26" i="20"/>
  <c r="B27" i="20" s="1"/>
  <c r="C29" i="20"/>
  <c r="C26" i="20"/>
  <c r="C27" i="20" s="1"/>
  <c r="F26" i="20"/>
  <c r="F27" i="20" s="1"/>
  <c r="G23" i="20"/>
  <c r="G24" i="20" s="1"/>
  <c r="G26" i="20"/>
  <c r="G27" i="20" s="1"/>
  <c r="E29" i="20"/>
  <c r="E26" i="20"/>
  <c r="E27" i="20" s="1"/>
  <c r="D29" i="20"/>
  <c r="G29" i="20"/>
  <c r="D23" i="20"/>
  <c r="D24" i="20" s="1"/>
  <c r="B23" i="20"/>
  <c r="B24" i="20" s="1"/>
  <c r="G20" i="20"/>
  <c r="G21" i="20" s="1"/>
  <c r="C23" i="20"/>
  <c r="C24" i="20" s="1"/>
  <c r="F20" i="20"/>
  <c r="F21" i="20" s="1"/>
  <c r="F23" i="20"/>
  <c r="F24" i="20" s="1"/>
  <c r="E23" i="20"/>
  <c r="E24" i="20" s="1"/>
  <c r="C20" i="20"/>
  <c r="C21" i="20" s="1"/>
  <c r="B20" i="20"/>
  <c r="B21" i="20" s="1"/>
  <c r="G16" i="20"/>
  <c r="E20" i="20"/>
  <c r="E21" i="20" s="1"/>
  <c r="D20" i="20"/>
  <c r="D21" i="20" s="1"/>
  <c r="G6" i="20"/>
  <c r="B18" i="20"/>
  <c r="B16" i="20"/>
  <c r="C4" i="20"/>
  <c r="C3" i="20"/>
  <c r="G3" i="20"/>
  <c r="G17" i="20"/>
  <c r="C8" i="20"/>
  <c r="D17" i="20"/>
  <c r="F15" i="20"/>
  <c r="C7" i="20"/>
  <c r="G5" i="20"/>
  <c r="C6" i="20"/>
  <c r="C17" i="20"/>
  <c r="D18" i="20"/>
  <c r="B17" i="20"/>
  <c r="D16" i="20"/>
  <c r="C18" i="20"/>
  <c r="C16" i="20"/>
  <c r="G18" i="20"/>
  <c r="E17" i="20"/>
  <c r="E18" i="20"/>
  <c r="E16" i="20"/>
  <c r="F18" i="20"/>
  <c r="F16" i="20"/>
  <c r="C15" i="20"/>
  <c r="G15" i="20"/>
  <c r="E15" i="20"/>
  <c r="F17" i="20"/>
  <c r="D15" i="20"/>
  <c r="B17" i="16" l="1"/>
  <c r="B38" i="16"/>
  <c r="B89" i="5"/>
  <c r="B28" i="18"/>
  <c r="B84" i="5"/>
  <c r="H15" i="5"/>
  <c r="H19" i="5" s="1"/>
  <c r="H110" i="20"/>
  <c r="H122" i="20" s="1"/>
  <c r="H24" i="5" s="1"/>
  <c r="J110" i="20"/>
  <c r="K110" i="20"/>
  <c r="I110" i="20"/>
  <c r="I53" i="5"/>
  <c r="I56" i="5" s="1"/>
  <c r="I61" i="5" s="1"/>
  <c r="I9" i="19" s="1"/>
  <c r="K40" i="5"/>
  <c r="K44" i="5" s="1"/>
  <c r="K13" i="16" s="1"/>
  <c r="J40" i="5"/>
  <c r="J44" i="5" s="1"/>
  <c r="H56" i="5"/>
  <c r="H61" i="5" s="1"/>
  <c r="F8" i="19"/>
  <c r="J56" i="5"/>
  <c r="J61" i="5" s="1"/>
  <c r="H40" i="5"/>
  <c r="H44" i="5" s="1"/>
  <c r="E8" i="19"/>
  <c r="K56" i="5"/>
  <c r="K61" i="5" s="1"/>
  <c r="J8" i="19"/>
  <c r="G8" i="19"/>
  <c r="B54" i="18"/>
  <c r="B18" i="18"/>
  <c r="I8" i="19"/>
  <c r="I40" i="5"/>
  <c r="I44" i="5" s="1"/>
  <c r="B15" i="18"/>
  <c r="B63" i="18"/>
  <c r="H51" i="5"/>
  <c r="E47" i="5"/>
  <c r="B8" i="18"/>
  <c r="B23" i="18"/>
  <c r="B14" i="18"/>
  <c r="K13" i="5"/>
  <c r="K9" i="16" s="1"/>
  <c r="K29" i="16"/>
  <c r="K24" i="15"/>
  <c r="D47" i="5"/>
  <c r="B8" i="19"/>
  <c r="B42" i="18"/>
  <c r="B21" i="18"/>
  <c r="C58" i="18"/>
  <c r="B47" i="18"/>
  <c r="H67" i="5"/>
  <c r="H23" i="5"/>
  <c r="C8" i="19"/>
  <c r="I13" i="5"/>
  <c r="I9" i="16" s="1"/>
  <c r="I24" i="15"/>
  <c r="I29" i="16"/>
  <c r="B12" i="18"/>
  <c r="B34" i="18"/>
  <c r="B41" i="18"/>
  <c r="B49" i="18"/>
  <c r="B30" i="18"/>
  <c r="B22" i="18"/>
  <c r="B40" i="18"/>
  <c r="B33" i="18"/>
  <c r="B17" i="18"/>
  <c r="B9" i="18"/>
  <c r="B24" i="18"/>
  <c r="B13" i="18"/>
  <c r="B45" i="18"/>
  <c r="B16" i="18"/>
  <c r="B31" i="18"/>
  <c r="B7" i="18"/>
  <c r="B35" i="18"/>
  <c r="B10" i="18"/>
  <c r="B53" i="18"/>
  <c r="B48" i="18"/>
  <c r="B11" i="18"/>
  <c r="B36" i="18"/>
  <c r="B20" i="18"/>
  <c r="C47" i="5"/>
  <c r="D8" i="19"/>
  <c r="B46" i="18"/>
  <c r="B68" i="18"/>
  <c r="J13" i="5"/>
  <c r="J9" i="16" s="1"/>
  <c r="J29" i="16"/>
  <c r="J24" i="15"/>
  <c r="K8" i="19"/>
  <c r="G47" i="5"/>
  <c r="F47" i="5"/>
  <c r="B29" i="18"/>
  <c r="E28" i="21"/>
  <c r="H28" i="21"/>
  <c r="G28" i="21"/>
  <c r="D28" i="21"/>
  <c r="G40" i="5"/>
  <c r="G44" i="5" s="1"/>
  <c r="G56" i="5"/>
  <c r="G61" i="5" s="1"/>
  <c r="G9" i="19" s="1"/>
  <c r="G84" i="5"/>
  <c r="G89" i="5"/>
  <c r="G19" i="5"/>
  <c r="H178" i="20"/>
  <c r="I66" i="20"/>
  <c r="G9" i="20"/>
  <c r="C9" i="20"/>
  <c r="J28" i="6" l="1"/>
  <c r="J9" i="19"/>
  <c r="K28" i="6"/>
  <c r="K9" i="19"/>
  <c r="I63" i="5"/>
  <c r="I19" i="15" s="1"/>
  <c r="I25" i="15" s="1"/>
  <c r="I28" i="6"/>
  <c r="H30" i="5"/>
  <c r="J13" i="16"/>
  <c r="J27" i="6"/>
  <c r="J29" i="6" s="1"/>
  <c r="J63" i="5"/>
  <c r="K27" i="6"/>
  <c r="H63" i="5"/>
  <c r="K63" i="5"/>
  <c r="K71" i="17" s="1"/>
  <c r="G87" i="5"/>
  <c r="G91" i="5" s="1"/>
  <c r="G12" i="19"/>
  <c r="I27" i="6"/>
  <c r="I13" i="16"/>
  <c r="J66" i="20"/>
  <c r="I83" i="5"/>
  <c r="G63" i="5"/>
  <c r="I65" i="20"/>
  <c r="I67" i="20"/>
  <c r="J67" i="20" s="1"/>
  <c r="K67" i="20" s="1"/>
  <c r="I64" i="20"/>
  <c r="J64" i="20" s="1"/>
  <c r="K64" i="20" s="1"/>
  <c r="I69" i="20"/>
  <c r="J69" i="20" s="1"/>
  <c r="K69" i="20" s="1"/>
  <c r="I34" i="20"/>
  <c r="I35" i="20"/>
  <c r="I31" i="20"/>
  <c r="I55" i="20"/>
  <c r="J55" i="20" s="1"/>
  <c r="K55" i="20" s="1"/>
  <c r="I52" i="20"/>
  <c r="I53" i="20"/>
  <c r="J53" i="20" s="1"/>
  <c r="K53" i="20" s="1"/>
  <c r="I54" i="20"/>
  <c r="J54" i="20" s="1"/>
  <c r="K54" i="20" s="1"/>
  <c r="I56" i="20"/>
  <c r="I75" i="5" s="1"/>
  <c r="K29" i="6" l="1"/>
  <c r="I10" i="19"/>
  <c r="I34" i="16"/>
  <c r="I21" i="17"/>
  <c r="I31" i="17" s="1"/>
  <c r="I71" i="17"/>
  <c r="I29" i="6"/>
  <c r="J71" i="17"/>
  <c r="J19" i="15"/>
  <c r="J25" i="15" s="1"/>
  <c r="J11" i="19" s="1"/>
  <c r="J21" i="17"/>
  <c r="J31" i="17" s="1"/>
  <c r="J35" i="17" s="1"/>
  <c r="J34" i="16"/>
  <c r="J10" i="19"/>
  <c r="K19" i="15"/>
  <c r="K25" i="15" s="1"/>
  <c r="K11" i="19" s="1"/>
  <c r="K34" i="16"/>
  <c r="K21" i="17"/>
  <c r="C17" i="21" s="1"/>
  <c r="K10" i="19"/>
  <c r="J65" i="20"/>
  <c r="I82" i="5"/>
  <c r="I89" i="5" s="1"/>
  <c r="I10" i="17" s="1"/>
  <c r="I133" i="20"/>
  <c r="I26" i="5" s="1"/>
  <c r="I27" i="5" s="1"/>
  <c r="I11" i="19"/>
  <c r="G10" i="19"/>
  <c r="I38" i="16"/>
  <c r="I14" i="6"/>
  <c r="I17" i="16"/>
  <c r="I17" i="6"/>
  <c r="K66" i="20"/>
  <c r="K83" i="5" s="1"/>
  <c r="J83" i="5"/>
  <c r="G13" i="19"/>
  <c r="J34" i="20"/>
  <c r="I126" i="20"/>
  <c r="I125" i="20" s="1"/>
  <c r="J31" i="20"/>
  <c r="J52" i="20"/>
  <c r="I112" i="20"/>
  <c r="I115" i="20" s="1"/>
  <c r="J35" i="20"/>
  <c r="K35" i="20" s="1"/>
  <c r="I83" i="20"/>
  <c r="I86" i="20"/>
  <c r="I78" i="20"/>
  <c r="I87" i="20"/>
  <c r="I88" i="20"/>
  <c r="I84" i="20"/>
  <c r="I82" i="20"/>
  <c r="I89" i="20"/>
  <c r="I95" i="20"/>
  <c r="I85" i="20"/>
  <c r="I81" i="20"/>
  <c r="I96" i="20"/>
  <c r="J96" i="20" s="1"/>
  <c r="K96" i="20" s="1"/>
  <c r="I77" i="20"/>
  <c r="I62" i="20"/>
  <c r="I71" i="20" s="1"/>
  <c r="J56" i="20"/>
  <c r="J32" i="20"/>
  <c r="K32" i="20" s="1"/>
  <c r="I38" i="17" l="1"/>
  <c r="J38" i="17"/>
  <c r="K31" i="17"/>
  <c r="K35" i="17" s="1"/>
  <c r="K38" i="17"/>
  <c r="I81" i="5"/>
  <c r="I84" i="5" s="1"/>
  <c r="I17" i="5"/>
  <c r="I58" i="20"/>
  <c r="D32" i="21"/>
  <c r="D31" i="21"/>
  <c r="E34" i="21"/>
  <c r="G34" i="21"/>
  <c r="F32" i="21"/>
  <c r="H34" i="21"/>
  <c r="F34" i="21"/>
  <c r="G29" i="21"/>
  <c r="G31" i="21"/>
  <c r="G30" i="21"/>
  <c r="E29" i="21"/>
  <c r="C28" i="21"/>
  <c r="D34" i="21"/>
  <c r="H32" i="21"/>
  <c r="E33" i="21"/>
  <c r="D30" i="21"/>
  <c r="E30" i="21"/>
  <c r="H30" i="21"/>
  <c r="E31" i="21"/>
  <c r="H29" i="21"/>
  <c r="F30" i="21"/>
  <c r="D33" i="21"/>
  <c r="F31" i="21"/>
  <c r="G33" i="21"/>
  <c r="F33" i="21"/>
  <c r="E32" i="21"/>
  <c r="G32" i="21"/>
  <c r="H31" i="21"/>
  <c r="H33" i="21"/>
  <c r="F29" i="21"/>
  <c r="D29" i="21"/>
  <c r="I35" i="17"/>
  <c r="J62" i="20"/>
  <c r="J75" i="5"/>
  <c r="J133" i="20"/>
  <c r="J26" i="5" s="1"/>
  <c r="J27" i="5" s="1"/>
  <c r="I124" i="20"/>
  <c r="K65" i="20"/>
  <c r="K82" i="5" s="1"/>
  <c r="K89" i="5" s="1"/>
  <c r="K10" i="17" s="1"/>
  <c r="J82" i="5"/>
  <c r="J89" i="5" s="1"/>
  <c r="J10" i="17" s="1"/>
  <c r="K31" i="20"/>
  <c r="K34" i="20"/>
  <c r="I79" i="20"/>
  <c r="I90" i="20" s="1"/>
  <c r="I117" i="20"/>
  <c r="I122" i="20" s="1"/>
  <c r="I140" i="20"/>
  <c r="I150" i="20" s="1"/>
  <c r="I161" i="20" s="1"/>
  <c r="K52" i="20"/>
  <c r="J112" i="20"/>
  <c r="J115" i="20" s="1"/>
  <c r="J81" i="20"/>
  <c r="J84" i="20"/>
  <c r="J99" i="20"/>
  <c r="J78" i="5" s="1"/>
  <c r="J85" i="20"/>
  <c r="J78" i="20"/>
  <c r="I60" i="20"/>
  <c r="I59" i="20"/>
  <c r="I61" i="20"/>
  <c r="J83" i="20"/>
  <c r="J77" i="20"/>
  <c r="J82" i="20"/>
  <c r="J88" i="20"/>
  <c r="J87" i="20"/>
  <c r="J95" i="20"/>
  <c r="K95" i="20" s="1"/>
  <c r="J86" i="20"/>
  <c r="J89" i="20"/>
  <c r="J126" i="20"/>
  <c r="K56" i="20"/>
  <c r="K75" i="5" s="1"/>
  <c r="J60" i="20" l="1"/>
  <c r="J58" i="20"/>
  <c r="I46" i="5"/>
  <c r="I15" i="5"/>
  <c r="I19" i="5" s="1"/>
  <c r="I12" i="19"/>
  <c r="I8" i="15"/>
  <c r="I68" i="17"/>
  <c r="I69" i="17"/>
  <c r="I67" i="17"/>
  <c r="I72" i="17"/>
  <c r="J17" i="16"/>
  <c r="J19" i="16" s="1"/>
  <c r="J38" i="16"/>
  <c r="J17" i="6"/>
  <c r="J14" i="6"/>
  <c r="K14" i="6"/>
  <c r="K17" i="16"/>
  <c r="K19" i="16" s="1"/>
  <c r="K38" i="16"/>
  <c r="K40" i="16" s="1"/>
  <c r="K17" i="6"/>
  <c r="J71" i="20"/>
  <c r="J79" i="20" s="1"/>
  <c r="J90" i="20" s="1"/>
  <c r="J61" i="20"/>
  <c r="J59" i="20"/>
  <c r="J17" i="5"/>
  <c r="I92" i="20"/>
  <c r="J117" i="20"/>
  <c r="J122" i="20" s="1"/>
  <c r="J140" i="20"/>
  <c r="K112" i="20"/>
  <c r="K115" i="20" s="1"/>
  <c r="K133" i="20"/>
  <c r="K26" i="5" s="1"/>
  <c r="K27" i="5" s="1"/>
  <c r="K82" i="20"/>
  <c r="K99" i="20"/>
  <c r="K78" i="5" s="1"/>
  <c r="K87" i="20"/>
  <c r="K88" i="20"/>
  <c r="K89" i="20"/>
  <c r="K77" i="20"/>
  <c r="K78" i="20"/>
  <c r="K62" i="20"/>
  <c r="K86" i="20"/>
  <c r="K84" i="20"/>
  <c r="K85" i="20"/>
  <c r="K83" i="20"/>
  <c r="K81" i="20"/>
  <c r="K126" i="20"/>
  <c r="J124" i="20"/>
  <c r="J125" i="20"/>
  <c r="J15" i="5" l="1"/>
  <c r="J19" i="5" s="1"/>
  <c r="I93" i="20"/>
  <c r="I97" i="20" s="1"/>
  <c r="I86" i="5"/>
  <c r="I87" i="5" s="1"/>
  <c r="K17" i="5"/>
  <c r="I10" i="15"/>
  <c r="I28" i="15" s="1"/>
  <c r="I11" i="15"/>
  <c r="I29" i="15" s="1"/>
  <c r="I15" i="15"/>
  <c r="I33" i="15" s="1"/>
  <c r="I17" i="15"/>
  <c r="I35" i="15" s="1"/>
  <c r="I14" i="15"/>
  <c r="I32" i="15" s="1"/>
  <c r="I13" i="15"/>
  <c r="I31" i="15" s="1"/>
  <c r="I12" i="15"/>
  <c r="I30" i="15" s="1"/>
  <c r="I16" i="15"/>
  <c r="I34" i="15" s="1"/>
  <c r="I37" i="15"/>
  <c r="I24" i="5"/>
  <c r="I8" i="16" s="1"/>
  <c r="I10" i="16" s="1"/>
  <c r="J150" i="20"/>
  <c r="J46" i="5"/>
  <c r="J81" i="5"/>
  <c r="J84" i="5" s="1"/>
  <c r="I47" i="5"/>
  <c r="J24" i="5"/>
  <c r="J8" i="16" s="1"/>
  <c r="J10" i="16" s="1"/>
  <c r="J40" i="16"/>
  <c r="I51" i="5"/>
  <c r="I12" i="16" s="1"/>
  <c r="I14" i="16" s="1"/>
  <c r="J92" i="20"/>
  <c r="K71" i="20"/>
  <c r="K60" i="20"/>
  <c r="K58" i="20"/>
  <c r="K59" i="20"/>
  <c r="K61" i="20"/>
  <c r="K124" i="20"/>
  <c r="K125" i="20"/>
  <c r="B5" i="5"/>
  <c r="B3" i="5"/>
  <c r="A69" i="18"/>
  <c r="B5" i="18"/>
  <c r="C5" i="18"/>
  <c r="D5" i="18"/>
  <c r="E5" i="18"/>
  <c r="F5" i="18"/>
  <c r="G5" i="18"/>
  <c r="A5" i="18"/>
  <c r="A4" i="18"/>
  <c r="B1" i="18"/>
  <c r="A1" i="18"/>
  <c r="B59" i="17"/>
  <c r="C59" i="17"/>
  <c r="D59" i="17"/>
  <c r="E59" i="17"/>
  <c r="F59" i="17"/>
  <c r="G59" i="17"/>
  <c r="B60" i="17"/>
  <c r="C60" i="17"/>
  <c r="D60" i="17"/>
  <c r="E60" i="17"/>
  <c r="F60" i="17"/>
  <c r="G60" i="17"/>
  <c r="B61" i="17"/>
  <c r="C61" i="17"/>
  <c r="D61" i="17"/>
  <c r="E61" i="17"/>
  <c r="F61" i="17"/>
  <c r="G61" i="17"/>
  <c r="B62" i="17"/>
  <c r="C62" i="17"/>
  <c r="D62" i="17"/>
  <c r="E62" i="17"/>
  <c r="F62" i="17"/>
  <c r="G62" i="17"/>
  <c r="B63" i="17"/>
  <c r="C63" i="17"/>
  <c r="D63" i="17"/>
  <c r="E63" i="17"/>
  <c r="F63" i="17"/>
  <c r="G63" i="17"/>
  <c r="A60" i="17"/>
  <c r="A61" i="17"/>
  <c r="A62" i="17"/>
  <c r="A63" i="17"/>
  <c r="A59" i="17"/>
  <c r="B48" i="17"/>
  <c r="C48" i="17"/>
  <c r="D48" i="17"/>
  <c r="E48" i="17"/>
  <c r="F48" i="17"/>
  <c r="G48" i="17"/>
  <c r="B49" i="17"/>
  <c r="C49" i="17"/>
  <c r="D49" i="17"/>
  <c r="E49" i="17"/>
  <c r="F49" i="17"/>
  <c r="G49" i="17"/>
  <c r="B50" i="17"/>
  <c r="C50" i="17"/>
  <c r="D50" i="17"/>
  <c r="E50" i="17"/>
  <c r="F50" i="17"/>
  <c r="G50" i="17"/>
  <c r="B51" i="17"/>
  <c r="C51" i="17"/>
  <c r="D51" i="17"/>
  <c r="E51" i="17"/>
  <c r="F51" i="17"/>
  <c r="G51" i="17"/>
  <c r="B52" i="17"/>
  <c r="C52" i="17"/>
  <c r="D52" i="17"/>
  <c r="E52" i="17"/>
  <c r="F52" i="17"/>
  <c r="G52" i="17"/>
  <c r="A49" i="17"/>
  <c r="A50" i="17"/>
  <c r="A51" i="17"/>
  <c r="A52" i="17"/>
  <c r="A48" i="17"/>
  <c r="B14" i="17"/>
  <c r="C14" i="17"/>
  <c r="D14" i="17"/>
  <c r="E14" i="17"/>
  <c r="F14" i="17"/>
  <c r="G14" i="17"/>
  <c r="B13" i="17"/>
  <c r="C13" i="17"/>
  <c r="D13" i="17"/>
  <c r="E13" i="17"/>
  <c r="F13" i="17"/>
  <c r="G13" i="17"/>
  <c r="B7" i="17"/>
  <c r="C7" i="17"/>
  <c r="D7" i="17"/>
  <c r="E7" i="17"/>
  <c r="F7" i="17"/>
  <c r="G7" i="17"/>
  <c r="A7" i="17"/>
  <c r="B1" i="17"/>
  <c r="A1" i="17"/>
  <c r="J161" i="20" l="1"/>
  <c r="J93" i="20"/>
  <c r="J97" i="20" s="1"/>
  <c r="J86" i="5"/>
  <c r="J87" i="5" s="1"/>
  <c r="J47" i="5"/>
  <c r="I91" i="5"/>
  <c r="I9" i="17"/>
  <c r="I13" i="19"/>
  <c r="I100" i="20"/>
  <c r="I76" i="5"/>
  <c r="J12" i="19"/>
  <c r="J8" i="15"/>
  <c r="J68" i="17"/>
  <c r="J69" i="17"/>
  <c r="J67" i="17"/>
  <c r="J72" i="17"/>
  <c r="I16" i="16"/>
  <c r="I67" i="5"/>
  <c r="I33" i="16" s="1"/>
  <c r="I35" i="16" s="1"/>
  <c r="J51" i="5"/>
  <c r="J12" i="16" s="1"/>
  <c r="J14" i="16" s="1"/>
  <c r="J16" i="16" s="1"/>
  <c r="K79" i="20"/>
  <c r="K90" i="20" s="1"/>
  <c r="K81" i="5"/>
  <c r="K84" i="5" s="1"/>
  <c r="G64" i="17"/>
  <c r="E64" i="17"/>
  <c r="D64" i="17"/>
  <c r="B64" i="17"/>
  <c r="F64" i="17"/>
  <c r="C64" i="17"/>
  <c r="K117" i="20"/>
  <c r="K122" i="20" s="1"/>
  <c r="K140" i="20"/>
  <c r="D53" i="17"/>
  <c r="F53" i="17"/>
  <c r="E53" i="17"/>
  <c r="B53" i="17"/>
  <c r="C53" i="17"/>
  <c r="G53" i="17"/>
  <c r="B7" i="16"/>
  <c r="C7" i="16"/>
  <c r="D7" i="16"/>
  <c r="E7" i="16"/>
  <c r="F7" i="16"/>
  <c r="G7" i="16"/>
  <c r="A7" i="16"/>
  <c r="B1" i="16"/>
  <c r="A1" i="16"/>
  <c r="B7" i="15"/>
  <c r="C7" i="15"/>
  <c r="D7" i="15"/>
  <c r="E7" i="15"/>
  <c r="F7" i="15"/>
  <c r="G7" i="15"/>
  <c r="A7" i="15"/>
  <c r="G10" i="6"/>
  <c r="F10" i="6"/>
  <c r="E10" i="6"/>
  <c r="D10" i="6"/>
  <c r="C10" i="6"/>
  <c r="B10" i="6"/>
  <c r="G8" i="6"/>
  <c r="F8" i="6"/>
  <c r="E8" i="6"/>
  <c r="D8" i="6"/>
  <c r="C8" i="6"/>
  <c r="B8" i="6"/>
  <c r="A8" i="6"/>
  <c r="G7" i="6"/>
  <c r="F7" i="6"/>
  <c r="E7" i="6"/>
  <c r="D7" i="6"/>
  <c r="C7" i="6"/>
  <c r="B7" i="6"/>
  <c r="A7" i="6"/>
  <c r="B1" i="6"/>
  <c r="B1" i="15" s="1"/>
  <c r="A1" i="6"/>
  <c r="A1" i="15" s="1"/>
  <c r="G112" i="5"/>
  <c r="F112" i="5"/>
  <c r="E112" i="5"/>
  <c r="D112" i="5"/>
  <c r="C112" i="5"/>
  <c r="B112" i="5"/>
  <c r="G104" i="5"/>
  <c r="F104" i="5"/>
  <c r="E104" i="5"/>
  <c r="D104" i="5"/>
  <c r="C104" i="5"/>
  <c r="B104" i="5"/>
  <c r="D8" i="16"/>
  <c r="B4" i="5"/>
  <c r="J91" i="5" l="1"/>
  <c r="J9" i="17"/>
  <c r="J13" i="19"/>
  <c r="J18" i="16"/>
  <c r="I18" i="16"/>
  <c r="K150" i="20"/>
  <c r="K161" i="20" s="1"/>
  <c r="K46" i="5"/>
  <c r="K12" i="19"/>
  <c r="K8" i="15"/>
  <c r="K68" i="17"/>
  <c r="K69" i="17"/>
  <c r="K67" i="17"/>
  <c r="K72" i="17"/>
  <c r="I79" i="5"/>
  <c r="I165" i="20"/>
  <c r="I168" i="20" s="1"/>
  <c r="I172" i="20" s="1"/>
  <c r="K15" i="5"/>
  <c r="K19" i="5" s="1"/>
  <c r="J15" i="15"/>
  <c r="J33" i="15" s="1"/>
  <c r="J13" i="15"/>
  <c r="J31" i="15" s="1"/>
  <c r="J16" i="15"/>
  <c r="J34" i="15" s="1"/>
  <c r="J10" i="15"/>
  <c r="J28" i="15" s="1"/>
  <c r="J17" i="15"/>
  <c r="J35" i="15" s="1"/>
  <c r="J12" i="15"/>
  <c r="J30" i="15" s="1"/>
  <c r="J14" i="15"/>
  <c r="J32" i="15" s="1"/>
  <c r="J11" i="15"/>
  <c r="J29" i="15" s="1"/>
  <c r="J37" i="15"/>
  <c r="J67" i="5"/>
  <c r="J33" i="16" s="1"/>
  <c r="J35" i="16" s="1"/>
  <c r="J100" i="20"/>
  <c r="J76" i="5"/>
  <c r="K92" i="20"/>
  <c r="I11" i="17"/>
  <c r="I32" i="17"/>
  <c r="F20" i="15"/>
  <c r="E4" i="18"/>
  <c r="E6" i="17"/>
  <c r="F6" i="17"/>
  <c r="F4" i="18"/>
  <c r="E19" i="5"/>
  <c r="F6" i="15"/>
  <c r="G6" i="15"/>
  <c r="G6" i="17"/>
  <c r="G4" i="18"/>
  <c r="B6" i="17"/>
  <c r="C4" i="18"/>
  <c r="C6" i="17"/>
  <c r="F8" i="16"/>
  <c r="E6" i="15"/>
  <c r="D6" i="17"/>
  <c r="D4" i="18"/>
  <c r="B6" i="15"/>
  <c r="E8" i="16"/>
  <c r="C6" i="15"/>
  <c r="C6" i="16"/>
  <c r="D6" i="15"/>
  <c r="D6" i="16"/>
  <c r="D59" i="5"/>
  <c r="B27" i="5"/>
  <c r="B6" i="16"/>
  <c r="E6" i="16"/>
  <c r="E20" i="15"/>
  <c r="E28" i="16"/>
  <c r="E33" i="16"/>
  <c r="E12" i="16"/>
  <c r="E27" i="5"/>
  <c r="E59" i="5"/>
  <c r="G6" i="16"/>
  <c r="F6" i="16"/>
  <c r="F12" i="16"/>
  <c r="G28" i="16"/>
  <c r="B28" i="16"/>
  <c r="C13" i="6"/>
  <c r="C20" i="15"/>
  <c r="C33" i="16"/>
  <c r="C59" i="5"/>
  <c r="C8" i="16"/>
  <c r="C38" i="16"/>
  <c r="C40" i="16" s="1"/>
  <c r="C28" i="16"/>
  <c r="C12" i="16"/>
  <c r="C43" i="5"/>
  <c r="C27" i="5"/>
  <c r="B20" i="15"/>
  <c r="B13" i="6"/>
  <c r="B33" i="16"/>
  <c r="B59" i="5"/>
  <c r="B43" i="5"/>
  <c r="B41" i="15"/>
  <c r="B12" i="16"/>
  <c r="B47" i="5"/>
  <c r="B8" i="16"/>
  <c r="G33" i="16"/>
  <c r="G38" i="16"/>
  <c r="I40" i="16" s="1"/>
  <c r="G12" i="16"/>
  <c r="G8" i="16"/>
  <c r="G20" i="15"/>
  <c r="G13" i="6"/>
  <c r="D20" i="15"/>
  <c r="D38" i="16"/>
  <c r="D13" i="6"/>
  <c r="D33" i="16"/>
  <c r="D56" i="5"/>
  <c r="D12" i="16"/>
  <c r="D28" i="16"/>
  <c r="D19" i="5"/>
  <c r="D43" i="5"/>
  <c r="D27" i="5"/>
  <c r="F33" i="16"/>
  <c r="F28" i="16"/>
  <c r="F27" i="5"/>
  <c r="F13" i="6"/>
  <c r="F19" i="5"/>
  <c r="F38" i="16"/>
  <c r="F59" i="5"/>
  <c r="F43" i="5"/>
  <c r="E13" i="6"/>
  <c r="E43" i="5"/>
  <c r="E38" i="16"/>
  <c r="D40" i="16" l="1"/>
  <c r="G13" i="18"/>
  <c r="G20" i="18"/>
  <c r="G22" i="18"/>
  <c r="G10" i="18"/>
  <c r="G54" i="18"/>
  <c r="G24" i="18"/>
  <c r="G12" i="18"/>
  <c r="G15" i="18"/>
  <c r="G35" i="18"/>
  <c r="G53" i="18"/>
  <c r="G68" i="18"/>
  <c r="G21" i="18"/>
  <c r="G48" i="18"/>
  <c r="G8" i="18"/>
  <c r="G33" i="18"/>
  <c r="G40" i="18"/>
  <c r="G31" i="18"/>
  <c r="G11" i="18"/>
  <c r="G34" i="18"/>
  <c r="G42" i="18"/>
  <c r="G9" i="18"/>
  <c r="G7" i="18"/>
  <c r="G45" i="18"/>
  <c r="G43" i="18"/>
  <c r="G23" i="18"/>
  <c r="G29" i="18"/>
  <c r="G16" i="18"/>
  <c r="G47" i="18"/>
  <c r="G63" i="18"/>
  <c r="G64" i="18" s="1"/>
  <c r="G49" i="18"/>
  <c r="G30" i="18"/>
  <c r="G14" i="18"/>
  <c r="G17" i="18"/>
  <c r="G18" i="18"/>
  <c r="G46" i="18"/>
  <c r="G36" i="18"/>
  <c r="G41" i="18"/>
  <c r="G28" i="18"/>
  <c r="E34" i="18"/>
  <c r="E7" i="18"/>
  <c r="E17" i="18"/>
  <c r="E68" i="18"/>
  <c r="E53" i="18"/>
  <c r="E49" i="18"/>
  <c r="E41" i="18"/>
  <c r="E35" i="18"/>
  <c r="E23" i="18"/>
  <c r="E47" i="18"/>
  <c r="E21" i="18"/>
  <c r="E14" i="18"/>
  <c r="E29" i="18"/>
  <c r="E30" i="18"/>
  <c r="E42" i="18"/>
  <c r="E8" i="18"/>
  <c r="E9" i="18"/>
  <c r="E16" i="18"/>
  <c r="E10" i="18"/>
  <c r="E48" i="18"/>
  <c r="E43" i="18"/>
  <c r="E28" i="18"/>
  <c r="E12" i="18"/>
  <c r="E45" i="18"/>
  <c r="E18" i="18"/>
  <c r="E24" i="18"/>
  <c r="E33" i="18"/>
  <c r="F58" i="18"/>
  <c r="F59" i="18" s="1"/>
  <c r="E13" i="18"/>
  <c r="E46" i="18"/>
  <c r="E36" i="18"/>
  <c r="E40" i="18"/>
  <c r="E15" i="18"/>
  <c r="E20" i="18"/>
  <c r="E22" i="18"/>
  <c r="E54" i="18"/>
  <c r="E31" i="18"/>
  <c r="E63" i="18"/>
  <c r="E64" i="18" s="1"/>
  <c r="E11" i="18"/>
  <c r="I13" i="6"/>
  <c r="I15" i="6" s="1"/>
  <c r="D49" i="18"/>
  <c r="D31" i="18"/>
  <c r="D9" i="18"/>
  <c r="D53" i="18"/>
  <c r="D41" i="18"/>
  <c r="D29" i="18"/>
  <c r="D46" i="18"/>
  <c r="D16" i="18"/>
  <c r="D8" i="18"/>
  <c r="D12" i="18"/>
  <c r="D18" i="18"/>
  <c r="D14" i="18"/>
  <c r="D34" i="18"/>
  <c r="D54" i="18"/>
  <c r="D47" i="18"/>
  <c r="D36" i="18"/>
  <c r="D11" i="18"/>
  <c r="D7" i="18"/>
  <c r="D43" i="18"/>
  <c r="D30" i="18"/>
  <c r="D10" i="18"/>
  <c r="D33" i="18"/>
  <c r="D24" i="18"/>
  <c r="D68" i="18"/>
  <c r="D17" i="18"/>
  <c r="D42" i="18"/>
  <c r="D63" i="18"/>
  <c r="D64" i="18" s="1"/>
  <c r="D22" i="18"/>
  <c r="D28" i="18"/>
  <c r="D48" i="18"/>
  <c r="D15" i="18"/>
  <c r="D23" i="18"/>
  <c r="D45" i="18"/>
  <c r="D35" i="18"/>
  <c r="D40" i="18"/>
  <c r="D13" i="18"/>
  <c r="E58" i="18"/>
  <c r="E59" i="18" s="1"/>
  <c r="D21" i="18"/>
  <c r="D20" i="18"/>
  <c r="K12" i="15"/>
  <c r="K30" i="15" s="1"/>
  <c r="K16" i="15"/>
  <c r="K34" i="15" s="1"/>
  <c r="K17" i="15"/>
  <c r="K35" i="15" s="1"/>
  <c r="K10" i="15"/>
  <c r="K28" i="15" s="1"/>
  <c r="K13" i="15"/>
  <c r="K31" i="15" s="1"/>
  <c r="K11" i="15"/>
  <c r="K29" i="15" s="1"/>
  <c r="K14" i="15"/>
  <c r="K32" i="15" s="1"/>
  <c r="K15" i="15"/>
  <c r="K33" i="15" s="1"/>
  <c r="K37" i="15"/>
  <c r="I16" i="17"/>
  <c r="I39" i="17" s="1"/>
  <c r="I22" i="17"/>
  <c r="I25" i="17"/>
  <c r="F43" i="18"/>
  <c r="F24" i="18"/>
  <c r="F15" i="18"/>
  <c r="F68" i="18"/>
  <c r="F34" i="18"/>
  <c r="F54" i="18"/>
  <c r="F12" i="18"/>
  <c r="F23" i="18"/>
  <c r="F47" i="18"/>
  <c r="F31" i="18"/>
  <c r="F7" i="18"/>
  <c r="F14" i="18"/>
  <c r="F21" i="18"/>
  <c r="F17" i="18"/>
  <c r="F28" i="18"/>
  <c r="F9" i="18"/>
  <c r="F18" i="18"/>
  <c r="F63" i="18"/>
  <c r="F64" i="18" s="1"/>
  <c r="F29" i="18"/>
  <c r="F53" i="18"/>
  <c r="F10" i="18"/>
  <c r="F40" i="18"/>
  <c r="F8" i="18"/>
  <c r="F22" i="18"/>
  <c r="F20" i="18"/>
  <c r="F48" i="18"/>
  <c r="F42" i="18"/>
  <c r="F41" i="18"/>
  <c r="F13" i="18"/>
  <c r="F33" i="18"/>
  <c r="F16" i="18"/>
  <c r="F49" i="18"/>
  <c r="G58" i="18"/>
  <c r="G59" i="18" s="1"/>
  <c r="F11" i="18"/>
  <c r="F46" i="18"/>
  <c r="F36" i="18"/>
  <c r="F45" i="18"/>
  <c r="F35" i="18"/>
  <c r="F30" i="18"/>
  <c r="K93" i="20"/>
  <c r="K97" i="20" s="1"/>
  <c r="K86" i="5"/>
  <c r="K87" i="5" s="1"/>
  <c r="K24" i="5"/>
  <c r="K8" i="16" s="1"/>
  <c r="K10" i="16" s="1"/>
  <c r="C12" i="18"/>
  <c r="C46" i="18"/>
  <c r="C10" i="18"/>
  <c r="C42" i="18"/>
  <c r="C30" i="18"/>
  <c r="C18" i="18"/>
  <c r="C28" i="18"/>
  <c r="C11" i="18"/>
  <c r="C14" i="18"/>
  <c r="C33" i="18"/>
  <c r="C21" i="18"/>
  <c r="C23" i="18"/>
  <c r="D58" i="18"/>
  <c r="D59" i="18" s="1"/>
  <c r="C9" i="18"/>
  <c r="C36" i="18"/>
  <c r="C63" i="18"/>
  <c r="C64" i="18" s="1"/>
  <c r="C47" i="18"/>
  <c r="C7" i="18"/>
  <c r="C43" i="18"/>
  <c r="C41" i="18"/>
  <c r="C35" i="18"/>
  <c r="C49" i="18"/>
  <c r="C15" i="18"/>
  <c r="C48" i="18"/>
  <c r="C17" i="18"/>
  <c r="C24" i="18"/>
  <c r="C40" i="18"/>
  <c r="C16" i="18"/>
  <c r="C31" i="18"/>
  <c r="C53" i="18"/>
  <c r="C54" i="18"/>
  <c r="C68" i="18"/>
  <c r="C20" i="18"/>
  <c r="C45" i="18"/>
  <c r="C22" i="18"/>
  <c r="C29" i="18"/>
  <c r="C34" i="18"/>
  <c r="C8" i="18"/>
  <c r="C13" i="18"/>
  <c r="K47" i="5"/>
  <c r="J11" i="17"/>
  <c r="J32" i="17"/>
  <c r="I33" i="17"/>
  <c r="I34" i="17"/>
  <c r="J79" i="5"/>
  <c r="J165" i="20"/>
  <c r="J168" i="20" s="1"/>
  <c r="J172" i="20" s="1"/>
  <c r="K51" i="5"/>
  <c r="K12" i="16" s="1"/>
  <c r="K14" i="16" s="1"/>
  <c r="D61" i="5"/>
  <c r="D9" i="19" s="1"/>
  <c r="D29" i="16"/>
  <c r="D31" i="16" s="1"/>
  <c r="D24" i="15"/>
  <c r="B29" i="16"/>
  <c r="B31" i="16" s="1"/>
  <c r="B24" i="15"/>
  <c r="F29" i="16"/>
  <c r="F31" i="16" s="1"/>
  <c r="F24" i="15"/>
  <c r="F40" i="5"/>
  <c r="F44" i="5" s="1"/>
  <c r="C29" i="16"/>
  <c r="C31" i="16" s="1"/>
  <c r="C24" i="15"/>
  <c r="E29" i="16"/>
  <c r="E31" i="16" s="1"/>
  <c r="E24" i="15"/>
  <c r="G29" i="16"/>
  <c r="G31" i="16" s="1"/>
  <c r="G24" i="15"/>
  <c r="E56" i="5"/>
  <c r="E61" i="5" s="1"/>
  <c r="E9" i="19" s="1"/>
  <c r="G9" i="16"/>
  <c r="G10" i="16" s="1"/>
  <c r="F56" i="5"/>
  <c r="F61" i="5" s="1"/>
  <c r="F9" i="19" s="1"/>
  <c r="B64" i="18"/>
  <c r="C59" i="18"/>
  <c r="C19" i="5"/>
  <c r="G40" i="16"/>
  <c r="F40" i="16"/>
  <c r="E40" i="16"/>
  <c r="C89" i="5"/>
  <c r="C10" i="17" s="1"/>
  <c r="B22" i="6"/>
  <c r="C22" i="6"/>
  <c r="C41" i="15"/>
  <c r="C17" i="16"/>
  <c r="C17" i="6"/>
  <c r="C14" i="6"/>
  <c r="C15" i="6" s="1"/>
  <c r="B13" i="5"/>
  <c r="B9" i="16" s="1"/>
  <c r="B10" i="16" s="1"/>
  <c r="G21" i="6"/>
  <c r="G18" i="6"/>
  <c r="E13" i="5"/>
  <c r="E9" i="16" s="1"/>
  <c r="E10" i="16" s="1"/>
  <c r="C18" i="6"/>
  <c r="C21" i="6"/>
  <c r="E21" i="6"/>
  <c r="E18" i="6"/>
  <c r="F17" i="16"/>
  <c r="F17" i="6"/>
  <c r="F14" i="6"/>
  <c r="F15" i="6" s="1"/>
  <c r="F21" i="6"/>
  <c r="F18" i="6"/>
  <c r="G41" i="15"/>
  <c r="G22" i="6"/>
  <c r="G17" i="16"/>
  <c r="I19" i="16" s="1"/>
  <c r="G17" i="6"/>
  <c r="G14" i="6"/>
  <c r="G15" i="6" s="1"/>
  <c r="B14" i="6"/>
  <c r="B15" i="6" s="1"/>
  <c r="C13" i="5"/>
  <c r="C9" i="16" s="1"/>
  <c r="C10" i="16" s="1"/>
  <c r="D18" i="6"/>
  <c r="D21" i="6"/>
  <c r="F13" i="5"/>
  <c r="F9" i="16" s="1"/>
  <c r="F10" i="16" s="1"/>
  <c r="E17" i="16"/>
  <c r="E17" i="6"/>
  <c r="E14" i="6"/>
  <c r="E15" i="6" s="1"/>
  <c r="F41" i="15"/>
  <c r="F22" i="6"/>
  <c r="D13" i="5"/>
  <c r="D9" i="16" s="1"/>
  <c r="D10" i="16" s="1"/>
  <c r="B18" i="6"/>
  <c r="B21" i="6"/>
  <c r="E41" i="15"/>
  <c r="E22" i="6"/>
  <c r="D17" i="16"/>
  <c r="D17" i="6"/>
  <c r="D14" i="6"/>
  <c r="D15" i="6" s="1"/>
  <c r="E84" i="5"/>
  <c r="E89" i="5"/>
  <c r="E10" i="17" s="1"/>
  <c r="D41" i="15"/>
  <c r="D22" i="6"/>
  <c r="E40" i="5"/>
  <c r="E44" i="5" s="1"/>
  <c r="C40" i="5"/>
  <c r="C44" i="5" s="1"/>
  <c r="C84" i="5"/>
  <c r="B56" i="5"/>
  <c r="B61" i="5" s="1"/>
  <c r="B9" i="19" s="1"/>
  <c r="F84" i="5"/>
  <c r="G10" i="17"/>
  <c r="B10" i="17"/>
  <c r="F89" i="5"/>
  <c r="F10" i="17" s="1"/>
  <c r="D84" i="5"/>
  <c r="G28" i="6"/>
  <c r="D89" i="5"/>
  <c r="D10" i="17" s="1"/>
  <c r="D40" i="5"/>
  <c r="D44" i="5" s="1"/>
  <c r="C56" i="5"/>
  <c r="C61" i="5" s="1"/>
  <c r="C9" i="19" s="1"/>
  <c r="B40" i="5"/>
  <c r="B44" i="5" s="1"/>
  <c r="K16" i="16" l="1"/>
  <c r="C12" i="19"/>
  <c r="D12" i="19"/>
  <c r="B12" i="19"/>
  <c r="F12" i="19"/>
  <c r="J33" i="17"/>
  <c r="J34" i="17"/>
  <c r="K91" i="5"/>
  <c r="B5" i="21"/>
  <c r="K9" i="17"/>
  <c r="K13" i="19"/>
  <c r="E12" i="19"/>
  <c r="J16" i="17"/>
  <c r="J39" i="17" s="1"/>
  <c r="J22" i="17"/>
  <c r="J25" i="17"/>
  <c r="J13" i="6"/>
  <c r="J15" i="6" s="1"/>
  <c r="K18" i="16"/>
  <c r="N16" i="16"/>
  <c r="M16" i="16"/>
  <c r="I40" i="17"/>
  <c r="I45" i="17"/>
  <c r="K67" i="5"/>
  <c r="K33" i="16" s="1"/>
  <c r="K35" i="16" s="1"/>
  <c r="D28" i="6"/>
  <c r="K100" i="20"/>
  <c r="K76" i="5"/>
  <c r="B28" i="6"/>
  <c r="E28" i="6"/>
  <c r="C28" i="6"/>
  <c r="I174" i="20"/>
  <c r="I178" i="20" s="1"/>
  <c r="I70" i="5"/>
  <c r="D19" i="6"/>
  <c r="E19" i="6"/>
  <c r="G37" i="18"/>
  <c r="G19" i="6"/>
  <c r="F32" i="18"/>
  <c r="B32" i="18"/>
  <c r="E32" i="18"/>
  <c r="F44" i="18"/>
  <c r="C37" i="18"/>
  <c r="D19" i="18"/>
  <c r="D37" i="18"/>
  <c r="E44" i="18"/>
  <c r="D32" i="18"/>
  <c r="G32" i="18"/>
  <c r="G44" i="18"/>
  <c r="B37" i="18"/>
  <c r="C19" i="18"/>
  <c r="C44" i="18"/>
  <c r="B44" i="18"/>
  <c r="B25" i="18"/>
  <c r="C25" i="18"/>
  <c r="B50" i="18"/>
  <c r="D25" i="18"/>
  <c r="F37" i="18"/>
  <c r="D44" i="18"/>
  <c r="E19" i="18"/>
  <c r="F50" i="18"/>
  <c r="G50" i="18"/>
  <c r="G25" i="18"/>
  <c r="B19" i="18"/>
  <c r="C50" i="18"/>
  <c r="D50" i="18"/>
  <c r="G19" i="18"/>
  <c r="F19" i="18"/>
  <c r="E37" i="18"/>
  <c r="E25" i="18"/>
  <c r="E50" i="18"/>
  <c r="F25" i="18"/>
  <c r="C32" i="18"/>
  <c r="G69" i="17"/>
  <c r="G68" i="17"/>
  <c r="C68" i="17"/>
  <c r="C69" i="17"/>
  <c r="D68" i="17"/>
  <c r="D69" i="17"/>
  <c r="F68" i="17"/>
  <c r="F69" i="17"/>
  <c r="B69" i="17"/>
  <c r="B68" i="17"/>
  <c r="E68" i="17"/>
  <c r="E69" i="17"/>
  <c r="C19" i="6"/>
  <c r="C19" i="16"/>
  <c r="E19" i="16"/>
  <c r="E63" i="5"/>
  <c r="E13" i="16"/>
  <c r="E14" i="16" s="1"/>
  <c r="E16" i="16" s="1"/>
  <c r="E27" i="6"/>
  <c r="F19" i="6"/>
  <c r="C26" i="6"/>
  <c r="C23" i="6"/>
  <c r="F87" i="5"/>
  <c r="F8" i="15"/>
  <c r="D87" i="5"/>
  <c r="D8" i="15"/>
  <c r="G9" i="17"/>
  <c r="G8" i="15"/>
  <c r="B19" i="6"/>
  <c r="D26" i="6"/>
  <c r="D23" i="6"/>
  <c r="B87" i="5"/>
  <c r="B8" i="15"/>
  <c r="B16" i="15" s="1"/>
  <c r="F63" i="5"/>
  <c r="F28" i="6"/>
  <c r="E87" i="5"/>
  <c r="E8" i="15"/>
  <c r="C63" i="5"/>
  <c r="C13" i="16"/>
  <c r="C14" i="16" s="1"/>
  <c r="C16" i="16" s="1"/>
  <c r="C27" i="6"/>
  <c r="D19" i="16"/>
  <c r="F26" i="6"/>
  <c r="F23" i="6"/>
  <c r="F13" i="16"/>
  <c r="F14" i="16" s="1"/>
  <c r="F16" i="16" s="1"/>
  <c r="F27" i="6"/>
  <c r="B63" i="5"/>
  <c r="B19" i="15" s="1"/>
  <c r="B13" i="16"/>
  <c r="B14" i="16" s="1"/>
  <c r="B16" i="16" s="1"/>
  <c r="B27" i="6"/>
  <c r="B26" i="6"/>
  <c r="B23" i="6"/>
  <c r="G13" i="16"/>
  <c r="G14" i="16" s="1"/>
  <c r="G16" i="16" s="1"/>
  <c r="G27" i="6"/>
  <c r="G29" i="6" s="1"/>
  <c r="G19" i="16"/>
  <c r="E23" i="6"/>
  <c r="E26" i="6"/>
  <c r="G23" i="6"/>
  <c r="G26" i="6"/>
  <c r="F19" i="16"/>
  <c r="C87" i="5"/>
  <c r="C8" i="15"/>
  <c r="D63" i="5"/>
  <c r="D13" i="16"/>
  <c r="D14" i="16" s="1"/>
  <c r="D16" i="16" s="1"/>
  <c r="D27" i="6"/>
  <c r="G67" i="17"/>
  <c r="B29" i="6" l="1"/>
  <c r="B30" i="6"/>
  <c r="B18" i="16"/>
  <c r="G9" i="6"/>
  <c r="E29" i="6"/>
  <c r="E30" i="6" s="1"/>
  <c r="B26" i="18"/>
  <c r="C13" i="19"/>
  <c r="F10" i="19"/>
  <c r="E67" i="17"/>
  <c r="E10" i="19"/>
  <c r="B13" i="19"/>
  <c r="D10" i="19"/>
  <c r="J174" i="20"/>
  <c r="J178" i="20" s="1"/>
  <c r="J70" i="5"/>
  <c r="K11" i="17"/>
  <c r="K16" i="17" s="1"/>
  <c r="K32" i="17"/>
  <c r="J45" i="17"/>
  <c r="J40" i="17"/>
  <c r="C36" i="21"/>
  <c r="E15" i="21"/>
  <c r="E24" i="21" s="1"/>
  <c r="F13" i="21"/>
  <c r="F22" i="21" s="1"/>
  <c r="E13" i="21"/>
  <c r="E22" i="21" s="1"/>
  <c r="C9" i="21"/>
  <c r="F12" i="21"/>
  <c r="F21" i="21" s="1"/>
  <c r="E10" i="21"/>
  <c r="E19" i="21" s="1"/>
  <c r="E14" i="21"/>
  <c r="E23" i="21" s="1"/>
  <c r="D12" i="21"/>
  <c r="D21" i="21" s="1"/>
  <c r="E12" i="21"/>
  <c r="E21" i="21" s="1"/>
  <c r="F15" i="21"/>
  <c r="F24" i="21" s="1"/>
  <c r="H11" i="21"/>
  <c r="H20" i="21" s="1"/>
  <c r="G11" i="21"/>
  <c r="G20" i="21" s="1"/>
  <c r="G13" i="21"/>
  <c r="G22" i="21" s="1"/>
  <c r="H13" i="21"/>
  <c r="H22" i="21" s="1"/>
  <c r="G12" i="21"/>
  <c r="G21" i="21" s="1"/>
  <c r="F14" i="21"/>
  <c r="F23" i="21" s="1"/>
  <c r="G15" i="21"/>
  <c r="G24" i="21" s="1"/>
  <c r="F10" i="21"/>
  <c r="F19" i="21" s="1"/>
  <c r="H15" i="21"/>
  <c r="H24" i="21" s="1"/>
  <c r="G10" i="21"/>
  <c r="G19" i="21" s="1"/>
  <c r="D10" i="21"/>
  <c r="D19" i="21" s="1"/>
  <c r="D11" i="21"/>
  <c r="D20" i="21" s="1"/>
  <c r="H14" i="21"/>
  <c r="H23" i="21" s="1"/>
  <c r="E11" i="21"/>
  <c r="E20" i="21" s="1"/>
  <c r="D15" i="21"/>
  <c r="D24" i="21" s="1"/>
  <c r="D13" i="21"/>
  <c r="D22" i="21" s="1"/>
  <c r="F11" i="21"/>
  <c r="F20" i="21" s="1"/>
  <c r="G14" i="21"/>
  <c r="G23" i="21" s="1"/>
  <c r="H10" i="21"/>
  <c r="H19" i="21" s="1"/>
  <c r="H12" i="21"/>
  <c r="H21" i="21" s="1"/>
  <c r="D14" i="21"/>
  <c r="D23" i="21" s="1"/>
  <c r="D13" i="19"/>
  <c r="I22" i="6"/>
  <c r="I41" i="15"/>
  <c r="K79" i="5"/>
  <c r="K165" i="20"/>
  <c r="K168" i="20" s="1"/>
  <c r="K172" i="20" s="1"/>
  <c r="D29" i="6"/>
  <c r="D30" i="6" s="1"/>
  <c r="D9" i="6"/>
  <c r="F13" i="19"/>
  <c r="E13" i="19"/>
  <c r="C29" i="6"/>
  <c r="C30" i="6" s="1"/>
  <c r="E9" i="6"/>
  <c r="B67" i="17"/>
  <c r="B10" i="19"/>
  <c r="C67" i="17"/>
  <c r="C10" i="19"/>
  <c r="I55" i="17"/>
  <c r="I42" i="17"/>
  <c r="I41" i="17"/>
  <c r="D18" i="16"/>
  <c r="F18" i="16"/>
  <c r="E18" i="16"/>
  <c r="C18" i="16"/>
  <c r="G38" i="18"/>
  <c r="B38" i="18"/>
  <c r="F38" i="18"/>
  <c r="F26" i="18"/>
  <c r="G26" i="18"/>
  <c r="C38" i="18"/>
  <c r="F51" i="18"/>
  <c r="C9" i="6"/>
  <c r="B51" i="18"/>
  <c r="E51" i="18"/>
  <c r="E38" i="18"/>
  <c r="D26" i="18"/>
  <c r="F19" i="15"/>
  <c r="F25" i="15" s="1"/>
  <c r="F21" i="17"/>
  <c r="F71" i="17"/>
  <c r="F72" i="17" s="1"/>
  <c r="F34" i="16"/>
  <c r="F35" i="16" s="1"/>
  <c r="F37" i="16" s="1"/>
  <c r="F39" i="16" s="1"/>
  <c r="C19" i="15"/>
  <c r="C25" i="15" s="1"/>
  <c r="C71" i="17"/>
  <c r="C72" i="17" s="1"/>
  <c r="C21" i="17"/>
  <c r="C34" i="16"/>
  <c r="C35" i="16" s="1"/>
  <c r="F9" i="6"/>
  <c r="D51" i="18"/>
  <c r="G51" i="18"/>
  <c r="C26" i="18"/>
  <c r="D38" i="18"/>
  <c r="C51" i="18"/>
  <c r="F67" i="17"/>
  <c r="E19" i="15"/>
  <c r="E25" i="15" s="1"/>
  <c r="E21" i="17"/>
  <c r="E71" i="17"/>
  <c r="E72" i="17" s="1"/>
  <c r="E34" i="16"/>
  <c r="E26" i="18"/>
  <c r="G18" i="16"/>
  <c r="G19" i="15"/>
  <c r="G21" i="17"/>
  <c r="G71" i="17"/>
  <c r="G72" i="17" s="1"/>
  <c r="G34" i="16"/>
  <c r="D19" i="15"/>
  <c r="D71" i="17"/>
  <c r="D72" i="17" s="1"/>
  <c r="D21" i="17"/>
  <c r="D34" i="16"/>
  <c r="D35" i="16" s="1"/>
  <c r="D37" i="16" s="1"/>
  <c r="D67" i="17"/>
  <c r="G30" i="6"/>
  <c r="B71" i="17"/>
  <c r="B72" i="17" s="1"/>
  <c r="B21" i="17"/>
  <c r="B34" i="16"/>
  <c r="B35" i="16" s="1"/>
  <c r="G11" i="17"/>
  <c r="E91" i="5"/>
  <c r="E9" i="17"/>
  <c r="D91" i="5"/>
  <c r="D9" i="17"/>
  <c r="B91" i="5"/>
  <c r="B9" i="17"/>
  <c r="B11" i="17" s="1"/>
  <c r="B16" i="17" s="1"/>
  <c r="C91" i="5"/>
  <c r="C9" i="17"/>
  <c r="F91" i="5"/>
  <c r="F9" i="17"/>
  <c r="B9" i="6"/>
  <c r="D10" i="15"/>
  <c r="D12" i="15"/>
  <c r="D14" i="15"/>
  <c r="D16" i="15"/>
  <c r="D13" i="15"/>
  <c r="D11" i="15"/>
  <c r="D15" i="15"/>
  <c r="D17" i="15"/>
  <c r="F29" i="6"/>
  <c r="F30" i="6" s="1"/>
  <c r="E10" i="15"/>
  <c r="E15" i="15"/>
  <c r="E13" i="15"/>
  <c r="E17" i="15"/>
  <c r="E11" i="15"/>
  <c r="E12" i="15"/>
  <c r="E14" i="15"/>
  <c r="E16" i="15"/>
  <c r="B11" i="15"/>
  <c r="B10" i="15"/>
  <c r="B12" i="15"/>
  <c r="B14" i="15"/>
  <c r="B13" i="15"/>
  <c r="B15" i="15"/>
  <c r="B17" i="15"/>
  <c r="G11" i="15"/>
  <c r="G13" i="15"/>
  <c r="G15" i="15"/>
  <c r="G17" i="15"/>
  <c r="G12" i="15"/>
  <c r="G10" i="15"/>
  <c r="G16" i="15"/>
  <c r="G14" i="15"/>
  <c r="F10" i="15"/>
  <c r="F16" i="15"/>
  <c r="F13" i="15"/>
  <c r="F17" i="15"/>
  <c r="F15" i="15"/>
  <c r="F11" i="15"/>
  <c r="F12" i="15"/>
  <c r="F14" i="15"/>
  <c r="C10" i="15"/>
  <c r="C12" i="15"/>
  <c r="C14" i="15"/>
  <c r="C16" i="15"/>
  <c r="C13" i="15"/>
  <c r="C11" i="15"/>
  <c r="C15" i="15"/>
  <c r="C17" i="15"/>
  <c r="B22" i="17" l="1"/>
  <c r="E35" i="16"/>
  <c r="E37" i="16" s="1"/>
  <c r="E39" i="16" s="1"/>
  <c r="B37" i="16"/>
  <c r="B39" i="16" s="1"/>
  <c r="D39" i="16"/>
  <c r="G35" i="16"/>
  <c r="G37" i="16" s="1"/>
  <c r="G39" i="16" s="1"/>
  <c r="C37" i="16"/>
  <c r="B21" i="16"/>
  <c r="B22" i="16" s="1"/>
  <c r="B55" i="18"/>
  <c r="F28" i="15"/>
  <c r="F42" i="15" s="1"/>
  <c r="G21" i="16"/>
  <c r="I21" i="16"/>
  <c r="J21" i="16"/>
  <c r="K21" i="16"/>
  <c r="C21" i="16"/>
  <c r="C22" i="16" s="1"/>
  <c r="D21" i="16"/>
  <c r="E21" i="16"/>
  <c r="F21" i="16"/>
  <c r="J42" i="17"/>
  <c r="J41" i="17"/>
  <c r="J55" i="17"/>
  <c r="I46" i="15"/>
  <c r="I48" i="15"/>
  <c r="I44" i="15"/>
  <c r="I49" i="15"/>
  <c r="I47" i="15"/>
  <c r="I45" i="15"/>
  <c r="I43" i="15"/>
  <c r="I42" i="15"/>
  <c r="J41" i="15"/>
  <c r="J22" i="6"/>
  <c r="K13" i="6"/>
  <c r="K15" i="6" s="1"/>
  <c r="D37" i="21"/>
  <c r="H38" i="21"/>
  <c r="F41" i="21"/>
  <c r="E42" i="21"/>
  <c r="D38" i="21"/>
  <c r="G37" i="21"/>
  <c r="F42" i="21"/>
  <c r="H42" i="21"/>
  <c r="D42" i="21"/>
  <c r="F39" i="21"/>
  <c r="G38" i="21"/>
  <c r="E38" i="21"/>
  <c r="F40" i="21"/>
  <c r="D41" i="21"/>
  <c r="G40" i="21"/>
  <c r="F38" i="21"/>
  <c r="H41" i="21"/>
  <c r="E41" i="21"/>
  <c r="H39" i="21"/>
  <c r="D39" i="21"/>
  <c r="G39" i="21"/>
  <c r="G42" i="21"/>
  <c r="H40" i="21"/>
  <c r="E37" i="21"/>
  <c r="E40" i="21"/>
  <c r="E39" i="21"/>
  <c r="G41" i="21"/>
  <c r="H37" i="21"/>
  <c r="D40" i="21"/>
  <c r="F37" i="21"/>
  <c r="K33" i="17"/>
  <c r="K34" i="17"/>
  <c r="K25" i="17"/>
  <c r="K39" i="17"/>
  <c r="K22" i="17"/>
  <c r="N18" i="16"/>
  <c r="C37" i="15"/>
  <c r="C11" i="19"/>
  <c r="F37" i="15"/>
  <c r="F11" i="19"/>
  <c r="E37" i="15"/>
  <c r="E11" i="19"/>
  <c r="B69" i="18"/>
  <c r="B70" i="18" s="1"/>
  <c r="B60" i="18"/>
  <c r="B65" i="18" s="1"/>
  <c r="N17" i="16"/>
  <c r="N19" i="16" s="1"/>
  <c r="M17" i="16"/>
  <c r="M19" i="16" s="1"/>
  <c r="M18" i="16"/>
  <c r="F55" i="18"/>
  <c r="F60" i="18" s="1"/>
  <c r="F65" i="18" s="1"/>
  <c r="G55" i="18"/>
  <c r="G60" i="18" s="1"/>
  <c r="G65" i="18" s="1"/>
  <c r="E34" i="15"/>
  <c r="E48" i="15" s="1"/>
  <c r="C31" i="15"/>
  <c r="C45" i="15" s="1"/>
  <c r="E28" i="15"/>
  <c r="E42" i="15" s="1"/>
  <c r="C32" i="15"/>
  <c r="C46" i="15" s="1"/>
  <c r="C30" i="15"/>
  <c r="C44" i="15" s="1"/>
  <c r="F32" i="15"/>
  <c r="F46" i="15" s="1"/>
  <c r="F30" i="15"/>
  <c r="F44" i="15" s="1"/>
  <c r="C34" i="15"/>
  <c r="C48" i="15" s="1"/>
  <c r="C28" i="15"/>
  <c r="C42" i="15" s="1"/>
  <c r="C35" i="15"/>
  <c r="C49" i="15" s="1"/>
  <c r="C33" i="15"/>
  <c r="C47" i="15" s="1"/>
  <c r="E32" i="15"/>
  <c r="E46" i="15" s="1"/>
  <c r="C29" i="15"/>
  <c r="C43" i="15" s="1"/>
  <c r="F29" i="15"/>
  <c r="F43" i="15" s="1"/>
  <c r="B25" i="15"/>
  <c r="F35" i="15"/>
  <c r="F49" i="15" s="1"/>
  <c r="E35" i="15"/>
  <c r="E49" i="15" s="1"/>
  <c r="G25" i="15"/>
  <c r="E29" i="15"/>
  <c r="E43" i="15" s="1"/>
  <c r="D25" i="15"/>
  <c r="F33" i="15"/>
  <c r="F47" i="15" s="1"/>
  <c r="F34" i="15"/>
  <c r="F48" i="15" s="1"/>
  <c r="D55" i="18"/>
  <c r="D60" i="18" s="1"/>
  <c r="D65" i="18" s="1"/>
  <c r="E31" i="15"/>
  <c r="E45" i="15" s="1"/>
  <c r="E33" i="15"/>
  <c r="E47" i="15" s="1"/>
  <c r="E55" i="18"/>
  <c r="E60" i="18" s="1"/>
  <c r="E65" i="18" s="1"/>
  <c r="B38" i="17"/>
  <c r="B31" i="17"/>
  <c r="B35" i="17" s="1"/>
  <c r="C31" i="17"/>
  <c r="C35" i="17" s="1"/>
  <c r="C38" i="17"/>
  <c r="F38" i="17"/>
  <c r="F31" i="17"/>
  <c r="F35" i="17" s="1"/>
  <c r="D38" i="17"/>
  <c r="D31" i="17"/>
  <c r="D35" i="17" s="1"/>
  <c r="E31" i="17"/>
  <c r="E35" i="17" s="1"/>
  <c r="E38" i="17"/>
  <c r="C55" i="18"/>
  <c r="F31" i="15"/>
  <c r="F45" i="15" s="1"/>
  <c r="E30" i="15"/>
  <c r="E44" i="15" s="1"/>
  <c r="G31" i="17"/>
  <c r="G38" i="17"/>
  <c r="D11" i="17"/>
  <c r="D16" i="17" s="1"/>
  <c r="F11" i="17"/>
  <c r="G16" i="17"/>
  <c r="G39" i="17" s="1"/>
  <c r="G22" i="17"/>
  <c r="G25" i="17"/>
  <c r="C11" i="17"/>
  <c r="C16" i="17" s="1"/>
  <c r="E11" i="17"/>
  <c r="C39" i="16" l="1"/>
  <c r="K45" i="17"/>
  <c r="K40" i="17"/>
  <c r="K55" i="17" s="1"/>
  <c r="M39" i="17"/>
  <c r="J46" i="15"/>
  <c r="J44" i="15"/>
  <c r="J47" i="15"/>
  <c r="J43" i="15"/>
  <c r="J45" i="15"/>
  <c r="J49" i="15"/>
  <c r="J42" i="15"/>
  <c r="J48" i="15"/>
  <c r="K174" i="20"/>
  <c r="K178" i="20" s="1"/>
  <c r="K70" i="5"/>
  <c r="D35" i="15"/>
  <c r="D49" i="15" s="1"/>
  <c r="D11" i="19"/>
  <c r="B37" i="15"/>
  <c r="B11" i="19"/>
  <c r="G32" i="15"/>
  <c r="G46" i="15" s="1"/>
  <c r="G11" i="19"/>
  <c r="F69" i="18"/>
  <c r="F70" i="18" s="1"/>
  <c r="K22" i="16"/>
  <c r="J22" i="16"/>
  <c r="I22" i="16"/>
  <c r="G69" i="18"/>
  <c r="G70" i="18" s="1"/>
  <c r="E22" i="16"/>
  <c r="D22" i="16"/>
  <c r="G30" i="15"/>
  <c r="G44" i="15" s="1"/>
  <c r="G22" i="16"/>
  <c r="F22" i="16"/>
  <c r="B33" i="15"/>
  <c r="B47" i="15" s="1"/>
  <c r="D32" i="15"/>
  <c r="D46" i="15" s="1"/>
  <c r="B30" i="15"/>
  <c r="B44" i="15" s="1"/>
  <c r="B32" i="15"/>
  <c r="B46" i="15" s="1"/>
  <c r="B29" i="15"/>
  <c r="B43" i="15" s="1"/>
  <c r="D34" i="15"/>
  <c r="D48" i="15" s="1"/>
  <c r="D31" i="15"/>
  <c r="D45" i="15" s="1"/>
  <c r="D30" i="15"/>
  <c r="D44" i="15" s="1"/>
  <c r="G31" i="15"/>
  <c r="G45" i="15" s="1"/>
  <c r="B31" i="15"/>
  <c r="B45" i="15" s="1"/>
  <c r="D28" i="15"/>
  <c r="D42" i="15" s="1"/>
  <c r="B34" i="15"/>
  <c r="B48" i="15" s="1"/>
  <c r="B35" i="15"/>
  <c r="B49" i="15" s="1"/>
  <c r="B28" i="15"/>
  <c r="B42" i="15" s="1"/>
  <c r="G37" i="15"/>
  <c r="D33" i="15"/>
  <c r="D47" i="15" s="1"/>
  <c r="D37" i="15"/>
  <c r="E69" i="18"/>
  <c r="E70" i="18" s="1"/>
  <c r="G33" i="15"/>
  <c r="G47" i="15" s="1"/>
  <c r="D69" i="18"/>
  <c r="D70" i="18" s="1"/>
  <c r="D29" i="15"/>
  <c r="D43" i="15" s="1"/>
  <c r="G34" i="15"/>
  <c r="G48" i="15" s="1"/>
  <c r="G29" i="15"/>
  <c r="G43" i="15" s="1"/>
  <c r="G35" i="15"/>
  <c r="G49" i="15" s="1"/>
  <c r="G28" i="15"/>
  <c r="G42" i="15" s="1"/>
  <c r="C69" i="18"/>
  <c r="C70" i="18" s="1"/>
  <c r="C60" i="18"/>
  <c r="C65" i="18" s="1"/>
  <c r="F32" i="17"/>
  <c r="F34" i="17" s="1"/>
  <c r="B32" i="17"/>
  <c r="B34" i="17" s="1"/>
  <c r="C32" i="17"/>
  <c r="C33" i="17" s="1"/>
  <c r="D32" i="17"/>
  <c r="D33" i="17" s="1"/>
  <c r="E32" i="17"/>
  <c r="E33" i="17" s="1"/>
  <c r="G35" i="17"/>
  <c r="G32" i="17"/>
  <c r="G40" i="17"/>
  <c r="G45" i="17"/>
  <c r="C39" i="17"/>
  <c r="C25" i="17"/>
  <c r="C22" i="17"/>
  <c r="E16" i="17"/>
  <c r="E39" i="17" s="1"/>
  <c r="E25" i="17"/>
  <c r="E22" i="17"/>
  <c r="D39" i="17"/>
  <c r="D25" i="17"/>
  <c r="D22" i="17"/>
  <c r="B39" i="17"/>
  <c r="B45" i="17" s="1"/>
  <c r="B25" i="17"/>
  <c r="F16" i="17"/>
  <c r="F39" i="17" s="1"/>
  <c r="F22" i="17"/>
  <c r="F25" i="17"/>
  <c r="K41" i="15" l="1"/>
  <c r="K22" i="6"/>
  <c r="M40" i="17"/>
  <c r="K42" i="17"/>
  <c r="K41" i="17"/>
  <c r="F33" i="17"/>
  <c r="C34" i="17"/>
  <c r="B33" i="17"/>
  <c r="D34" i="17"/>
  <c r="E34" i="17"/>
  <c r="G34" i="17"/>
  <c r="G33" i="17"/>
  <c r="B40" i="17"/>
  <c r="B55" i="17" s="1"/>
  <c r="E40" i="17"/>
  <c r="E45" i="17"/>
  <c r="G42" i="17"/>
  <c r="G41" i="17"/>
  <c r="G55" i="17"/>
  <c r="D45" i="17"/>
  <c r="D40" i="17"/>
  <c r="C45" i="17"/>
  <c r="C40" i="17"/>
  <c r="F40" i="17"/>
  <c r="F45" i="17"/>
  <c r="K44" i="15" l="1"/>
  <c r="K47" i="15"/>
  <c r="K45" i="15"/>
  <c r="K46" i="15"/>
  <c r="K48" i="15"/>
  <c r="K43" i="15"/>
  <c r="K42" i="15"/>
  <c r="K49" i="15"/>
  <c r="D42" i="17"/>
  <c r="D41" i="17"/>
  <c r="D55" i="17"/>
  <c r="E42" i="17"/>
  <c r="E41" i="17"/>
  <c r="E55" i="17"/>
  <c r="F42" i="17"/>
  <c r="F41" i="17"/>
  <c r="F55" i="17"/>
  <c r="C42" i="17"/>
  <c r="C41" i="17"/>
  <c r="C55" i="17"/>
  <c r="B41" i="17"/>
  <c r="B42" i="17"/>
  <c r="I129" i="20"/>
  <c r="I30" i="5" l="1"/>
  <c r="I137" i="20"/>
  <c r="H177" i="20"/>
  <c r="H179" i="20" s="1"/>
  <c r="H35" i="5"/>
  <c r="J129" i="20"/>
  <c r="J30" i="5" s="1"/>
  <c r="J137" i="20" l="1"/>
  <c r="J177" i="20" s="1"/>
  <c r="J179" i="20" s="1"/>
  <c r="K129" i="20"/>
  <c r="J35" i="5"/>
  <c r="K137" i="20"/>
  <c r="K30" i="5"/>
  <c r="I177" i="20"/>
  <c r="I179" i="20" s="1"/>
  <c r="I35" i="5"/>
  <c r="J21" i="6" l="1"/>
  <c r="J18" i="6"/>
  <c r="J19" i="6" s="1"/>
  <c r="J28" i="16"/>
  <c r="J31" i="16" s="1"/>
  <c r="J37" i="16" s="1"/>
  <c r="J39" i="16" s="1"/>
  <c r="I18" i="6"/>
  <c r="I19" i="6" s="1"/>
  <c r="I21" i="6"/>
  <c r="I28" i="16"/>
  <c r="I31" i="16" s="1"/>
  <c r="I37" i="16" s="1"/>
  <c r="I39" i="16" s="1"/>
  <c r="K177" i="20"/>
  <c r="K179" i="20" s="1"/>
  <c r="K35" i="5"/>
  <c r="K21" i="6" l="1"/>
  <c r="K18" i="6"/>
  <c r="K19" i="6" s="1"/>
  <c r="K28" i="16"/>
  <c r="K31" i="16" s="1"/>
  <c r="K37" i="16" s="1"/>
  <c r="I23" i="6"/>
  <c r="I9" i="6" s="1"/>
  <c r="I26" i="6"/>
  <c r="I30" i="6" s="1"/>
  <c r="J23" i="6"/>
  <c r="J9" i="6" s="1"/>
  <c r="J26" i="6"/>
  <c r="J30" i="6" s="1"/>
  <c r="K39" i="16" l="1"/>
  <c r="K23" i="6"/>
  <c r="K9" i="6" s="1"/>
  <c r="K26" i="6"/>
  <c r="K30" i="6" s="1"/>
  <c r="I42" i="16" l="1"/>
  <c r="G42" i="16"/>
  <c r="K42" i="16"/>
  <c r="K43" i="16" s="1"/>
  <c r="C42" i="16"/>
  <c r="C43" i="16" s="1"/>
  <c r="J42" i="16"/>
  <c r="J43" i="16" s="1"/>
  <c r="B42" i="16"/>
  <c r="B43" i="16" s="1"/>
  <c r="E42" i="16"/>
  <c r="E43" i="16" s="1"/>
  <c r="F42" i="16"/>
  <c r="F43" i="16" s="1"/>
  <c r="D42" i="16"/>
  <c r="D43" i="16" s="1"/>
  <c r="G43" i="16"/>
  <c r="I43" i="16"/>
</calcChain>
</file>

<file path=xl/sharedStrings.xml><?xml version="1.0" encoding="utf-8"?>
<sst xmlns="http://schemas.openxmlformats.org/spreadsheetml/2006/main" count="2753" uniqueCount="909">
  <si>
    <t>Tesco PLC (LSE:TSCO) &gt; Financials &gt; Key Stats</t>
  </si>
  <si>
    <t>In Millions of the trading currency, except per share items.</t>
  </si>
  <si>
    <t>Currency:</t>
  </si>
  <si>
    <t>Trading Currency</t>
  </si>
  <si>
    <t> </t>
  </si>
  <si>
    <t>Conversion:</t>
  </si>
  <si>
    <t>Historical</t>
  </si>
  <si>
    <t>Order:</t>
  </si>
  <si>
    <t>Latest on Right</t>
  </si>
  <si>
    <t>Units:</t>
  </si>
  <si>
    <t>S&amp;P Capital IQ (Default)</t>
  </si>
  <si>
    <t>Decimals:</t>
  </si>
  <si>
    <t>Capital IQ (Default)</t>
  </si>
  <si>
    <t>Dilution:</t>
  </si>
  <si>
    <t>Basic</t>
  </si>
  <si>
    <t>Key Financials¹</t>
  </si>
  <si>
    <t xml:space="preserve">For the Fiscal Period Ending
</t>
  </si>
  <si>
    <t>12 months
Feb-29-2020A</t>
  </si>
  <si>
    <t>12 months
Feb-27-2021A</t>
  </si>
  <si>
    <t>12 months
Feb-26-2022A</t>
  </si>
  <si>
    <t>12 months
Feb-25-2023A</t>
  </si>
  <si>
    <t>12 months
Feb-24-2024A</t>
  </si>
  <si>
    <t>12 months
Feb-22-2025A</t>
  </si>
  <si>
    <t>Currency</t>
  </si>
  <si>
    <t>GBP</t>
  </si>
  <si>
    <t>Total Revenue</t>
  </si>
  <si>
    <t xml:space="preserve">  Growth Over Prior Year</t>
  </si>
  <si>
    <t>NA</t>
  </si>
  <si>
    <t>Gross Profit</t>
  </si>
  <si>
    <t xml:space="preserve">  Margin %</t>
  </si>
  <si>
    <t>EBITDA</t>
  </si>
  <si>
    <t>EBIT</t>
  </si>
  <si>
    <t>Earnings from Cont. Ops.</t>
  </si>
  <si>
    <t>Net Income</t>
  </si>
  <si>
    <t>Diluted EPS Excl. Extra Items³</t>
  </si>
  <si>
    <t>NM</t>
  </si>
  <si>
    <t>Same Store Sales Growth %</t>
  </si>
  <si>
    <t xml:space="preserve"> </t>
  </si>
  <si>
    <t>Exchange Rate</t>
  </si>
  <si>
    <t>Conversion Method</t>
  </si>
  <si>
    <t>H</t>
  </si>
  <si>
    <t>¹All results are taken from the most recently filed statement for each period. When there has been more than one, earlier filings can be viewed on the individual statement pages.</t>
  </si>
  <si>
    <t>³All forward period figures are consensus mean estimates provided by the brokers and may not be on a comparable basis as financials.</t>
  </si>
  <si>
    <t>†Growth rates for forward periods are calculated against prior period estimates or actual pro forma results as disclosed on the Estimates Consensus page.</t>
  </si>
  <si>
    <t>Growth Rates are calculated in originally reported currency only and will not reflect any currency conversion selected above.‡Sourced from data collected by Compustat.</t>
  </si>
  <si>
    <t>Latest Capitalization (Millions of GBP)</t>
  </si>
  <si>
    <t>Share Price</t>
  </si>
  <si>
    <t>Shares Out.</t>
  </si>
  <si>
    <t>Market Capitalization</t>
  </si>
  <si>
    <t>- Cash &amp; Short Term Investments</t>
  </si>
  <si>
    <t>+ Total Debt</t>
  </si>
  <si>
    <t>+ Pref. Equity</t>
  </si>
  <si>
    <t>-</t>
  </si>
  <si>
    <t>+ Total Minority Interest</t>
  </si>
  <si>
    <t>- Long Term Marketable Securities</t>
  </si>
  <si>
    <t>= Total Enterprise Value (TEV)</t>
  </si>
  <si>
    <t>Book Value of Common Equity</t>
  </si>
  <si>
    <t>= Total Capital</t>
  </si>
  <si>
    <t>**For companies that have multiple share classes that publicly trade, we are incorporating the different prices to calculate our company level market capitalization.  Please click on the value to see the detailed calculation. Prices shown on this page are the close price of the company’s primary stock class. Shares shown on this page are total company as-reported share values.</t>
  </si>
  <si>
    <t>Total Liability includes Total Debt, Minority Interest and Pref. Equity.</t>
  </si>
  <si>
    <t>Net Liability includes Total Liability, net of Cash and Short Term Investments.</t>
  </si>
  <si>
    <t>TEV includes Market Cap and Net Liability.</t>
  </si>
  <si>
    <t>Total Capital includes Common Equity and Total Liability.</t>
  </si>
  <si>
    <t>Valuation Multiples based on Current Capitalization</t>
  </si>
  <si>
    <t>12 months
Feb-28-2026E</t>
  </si>
  <si>
    <t>12 months
Feb-28-2027E</t>
  </si>
  <si>
    <t>12 months
Feb-29-2028E</t>
  </si>
  <si>
    <t>TEV/Total Revenue</t>
  </si>
  <si>
    <t>TEV/EBITDA</t>
  </si>
  <si>
    <t>TEV/EBIT</t>
  </si>
  <si>
    <t>P/Diluted EPS Before Extra</t>
  </si>
  <si>
    <t>P/BV</t>
  </si>
  <si>
    <t>Price/Tang BV</t>
  </si>
  <si>
    <t xml:space="preserve">
               </t>
  </si>
  <si>
    <t>Tesco PLC (LSE:TSCO) &gt; Financials &gt; Income Statement</t>
  </si>
  <si>
    <t>In Millions of the reported currency, except per share items.</t>
  </si>
  <si>
    <t>Template:</t>
  </si>
  <si>
    <t>Standard</t>
  </si>
  <si>
    <t>Restatement:</t>
  </si>
  <si>
    <t>Latest Filings</t>
  </si>
  <si>
    <t>Period Type:</t>
  </si>
  <si>
    <t>Annual</t>
  </si>
  <si>
    <t>Reported Currency</t>
  </si>
  <si>
    <t>Source:</t>
  </si>
  <si>
    <t>Capital IQ &amp; Proprietary Data</t>
  </si>
  <si>
    <t>Income Statement</t>
  </si>
  <si>
    <t>Reclassified
12 months
Feb-29-2020</t>
  </si>
  <si>
    <t>Restated
12 months
Feb-27-2021</t>
  </si>
  <si>
    <t>Reclassified
12 months
Feb-26-2022</t>
  </si>
  <si>
    <t>Restated
12 months
Feb-25-2023</t>
  </si>
  <si>
    <t>Reclassified
12 months
Feb-24-2024</t>
  </si>
  <si>
    <t>12 months
Feb-22-2025</t>
  </si>
  <si>
    <t>Revenue</t>
  </si>
  <si>
    <t>Finance Div. Revenue</t>
  </si>
  <si>
    <t>Insurance Div. Revenue</t>
  </si>
  <si>
    <t>Other Revenue</t>
  </si>
  <si>
    <t xml:space="preserve">  Total Revenue</t>
  </si>
  <si>
    <t>Cost Of Goods Sold</t>
  </si>
  <si>
    <t>Finance Div. Operating Exp.</t>
  </si>
  <si>
    <t>Insurance Div. Operating Exp.</t>
  </si>
  <si>
    <t>Interest Expense - Finance Division</t>
  </si>
  <si>
    <t xml:space="preserve">  Gross Profit</t>
  </si>
  <si>
    <t>Selling General &amp; Admin Exp.</t>
  </si>
  <si>
    <t>R &amp; D Exp.</t>
  </si>
  <si>
    <t>Depreciation &amp; Amort.</t>
  </si>
  <si>
    <t>Amort. of Goodwill and Intangibles</t>
  </si>
  <si>
    <t>Other Operating Expense/(Income)</t>
  </si>
  <si>
    <t xml:space="preserve">  Other Operating Exp., Total</t>
  </si>
  <si>
    <t xml:space="preserve">  Operating Income</t>
  </si>
  <si>
    <t>Interest Expense</t>
  </si>
  <si>
    <t>Interest and Invest. Income</t>
  </si>
  <si>
    <t xml:space="preserve">  Net Interest Exp.</t>
  </si>
  <si>
    <t>Income/(Loss) from Affiliates</t>
  </si>
  <si>
    <t>Other Non-Operating Inc. (Exp.)</t>
  </si>
  <si>
    <t xml:space="preserve">  EBT Excl. Unusual Items</t>
  </si>
  <si>
    <t>Restructuring Charges</t>
  </si>
  <si>
    <t>Merger &amp; Related Restruct. Charges</t>
  </si>
  <si>
    <t>Impairment of Goodwill</t>
  </si>
  <si>
    <t>Gain (Loss) On Sale Of Invest.</t>
  </si>
  <si>
    <t>Gain (Loss) On Sale Of Assets</t>
  </si>
  <si>
    <t>Asset Writedown</t>
  </si>
  <si>
    <t>Insurance Settlements</t>
  </si>
  <si>
    <t>Legal Settlements</t>
  </si>
  <si>
    <t>Other Unusual Items</t>
  </si>
  <si>
    <t xml:space="preserve">  EBT Incl. Unusual Items</t>
  </si>
  <si>
    <t>Income Tax Expense</t>
  </si>
  <si>
    <t xml:space="preserve">  Earnings from Cont. Ops.</t>
  </si>
  <si>
    <t>Earnings of Discontinued Ops.</t>
  </si>
  <si>
    <t>Extraord. Item &amp; Account. Change</t>
  </si>
  <si>
    <t xml:space="preserve">  Net Income to Company</t>
  </si>
  <si>
    <t>Minority Int. in Earnings</t>
  </si>
  <si>
    <t xml:space="preserve">  Net Income</t>
  </si>
  <si>
    <t>Pref. Dividends and Other Adj.</t>
  </si>
  <si>
    <t xml:space="preserve">  NI to Common Incl Extra Items</t>
  </si>
  <si>
    <t xml:space="preserve">  NI to Common Excl. Extra Items</t>
  </si>
  <si>
    <t>Per Share Items</t>
  </si>
  <si>
    <t>Basic EPS</t>
  </si>
  <si>
    <t>Basic EPS Excl. Extra Items</t>
  </si>
  <si>
    <t>Weighted Avg. Basic Shares Out.</t>
  </si>
  <si>
    <t>Diluted EPS</t>
  </si>
  <si>
    <t>Diluted EPS Excl. Extra Items</t>
  </si>
  <si>
    <t>Weighted Avg. Diluted Shares Out.</t>
  </si>
  <si>
    <t>Normalized Basic EPS</t>
  </si>
  <si>
    <t>Normalized Diluted EPS</t>
  </si>
  <si>
    <t>Dividends per Share</t>
  </si>
  <si>
    <t>Payout Ratio %</t>
  </si>
  <si>
    <t>Shares per Depository Receipt</t>
  </si>
  <si>
    <t>Supplemental Items</t>
  </si>
  <si>
    <t>EBITA</t>
  </si>
  <si>
    <t>EBITDAR</t>
  </si>
  <si>
    <t>As Reported Total Revenue*</t>
  </si>
  <si>
    <t>Effective Tax Rate %</t>
  </si>
  <si>
    <t>Current Domestic Taxes</t>
  </si>
  <si>
    <t>Current Foreign Taxes</t>
  </si>
  <si>
    <t>Total Current Taxes</t>
  </si>
  <si>
    <t>Deferred Domestic Taxes</t>
  </si>
  <si>
    <t>Deferred Foreign Taxes</t>
  </si>
  <si>
    <t>Total Deferred Taxes</t>
  </si>
  <si>
    <t>Normalized Net Income</t>
  </si>
  <si>
    <t>Interest Capitalized</t>
  </si>
  <si>
    <t>Interest on Long Term Debt</t>
  </si>
  <si>
    <t>Non-Cash Pension Expense</t>
  </si>
  <si>
    <t>Filing Date</t>
  </si>
  <si>
    <t>Restatement Type</t>
  </si>
  <si>
    <t>O</t>
  </si>
  <si>
    <t>NC</t>
  </si>
  <si>
    <t>RS</t>
  </si>
  <si>
    <t>RC</t>
  </si>
  <si>
    <t>RD</t>
  </si>
  <si>
    <t>Calculation Type</t>
  </si>
  <si>
    <t>REP</t>
  </si>
  <si>
    <t>Supplemental Operating Expense Items</t>
  </si>
  <si>
    <t>General and Administrative Exp.</t>
  </si>
  <si>
    <t>R&amp;D Exp.</t>
  </si>
  <si>
    <t>Net Rental Exp.</t>
  </si>
  <si>
    <t>Imputed Oper. Lease Interest Exp.</t>
  </si>
  <si>
    <t>Imputed Oper. Lease Depreciation</t>
  </si>
  <si>
    <t>Stock-Based Comp., COGS</t>
  </si>
  <si>
    <t>Stock-Based Comp., G&amp;A Exp.</t>
  </si>
  <si>
    <t>Stock-Based Comp., Unallocated</t>
  </si>
  <si>
    <t xml:space="preserve">  Stock-Based Comp., Total</t>
  </si>
  <si>
    <t>* Occasionally, certain items classified as Revenue by the company will be re-classified as other income if it is deemed to be non-recurring and unrelated to the core business of the firm. This field shows Total Revenue exactly as reported by the firm on its consolidated statement of income.</t>
  </si>
  <si>
    <t>** For Periods sourced from Compustat data, Diluted EPS &amp; Diluted WASO values are copied from Basic EPS &amp; Basic WASO.</t>
  </si>
  <si>
    <t>Note: For multiple class companies, per share items are primary class equivalent, and for foreign companies listed as primary ADRs, per share items are ADR-equivalent.</t>
  </si>
  <si>
    <t>‡ Sourced from data collected by Compustat.</t>
  </si>
  <si>
    <t>Tesco PLC (LSE:TSCO) &gt; Financials &gt; Balance Sheet</t>
  </si>
  <si>
    <t>Balance Sheet</t>
  </si>
  <si>
    <t xml:space="preserve">Balance Sheet as of:
</t>
  </si>
  <si>
    <t>Restated
Feb-29-2020</t>
  </si>
  <si>
    <t>Restated
Feb-27-2021</t>
  </si>
  <si>
    <t>Restated
Feb-25-2023</t>
  </si>
  <si>
    <t>ASSETS</t>
  </si>
  <si>
    <t>Cash And Equivalents</t>
  </si>
  <si>
    <t>Short Term Investments</t>
  </si>
  <si>
    <t xml:space="preserve">  Total Cash &amp; ST Investments</t>
  </si>
  <si>
    <t>Accounts Receivable</t>
  </si>
  <si>
    <t>Other Receivables</t>
  </si>
  <si>
    <t>Notes Receivable</t>
  </si>
  <si>
    <t xml:space="preserve">  Total Receivables</t>
  </si>
  <si>
    <t>Inventory</t>
  </si>
  <si>
    <t>Prepaid Exp.</t>
  </si>
  <si>
    <t>Finance Div. Loans and Leases, ST</t>
  </si>
  <si>
    <t>Finance Div. Other Curr. Assets</t>
  </si>
  <si>
    <t>Other Current Assets</t>
  </si>
  <si>
    <t xml:space="preserve">  Total Current Assets</t>
  </si>
  <si>
    <t>Gross Property, Plant &amp; Equipment</t>
  </si>
  <si>
    <t>Accumulated Depreciation</t>
  </si>
  <si>
    <t xml:space="preserve">  Net Property, Plant &amp; Equipment</t>
  </si>
  <si>
    <t>Long-term Investments</t>
  </si>
  <si>
    <t>Goodwill</t>
  </si>
  <si>
    <t>Other Intangibles</t>
  </si>
  <si>
    <t>Finance Div. Loans and Leases, LT</t>
  </si>
  <si>
    <t>Finance Div. Other LT Assets</t>
  </si>
  <si>
    <t>Accounts Receivable Long-Term</t>
  </si>
  <si>
    <t>Deferred Tax Assets, LT</t>
  </si>
  <si>
    <t>Deferred Charges, LT</t>
  </si>
  <si>
    <t>Other Long-Term Assets</t>
  </si>
  <si>
    <t>Total Assets</t>
  </si>
  <si>
    <t>LIABILITIES</t>
  </si>
  <si>
    <t>Accounts Payable</t>
  </si>
  <si>
    <t>Accrued Exp.</t>
  </si>
  <si>
    <t>Short-term Borrowings</t>
  </si>
  <si>
    <t>Curr. Port. of LT Debt</t>
  </si>
  <si>
    <t>Curr. Port. of Leases</t>
  </si>
  <si>
    <t>Finance Div. Debt Current</t>
  </si>
  <si>
    <t>Finance Div. Other Curr. Liab.</t>
  </si>
  <si>
    <t>Curr. Income Taxes Payable</t>
  </si>
  <si>
    <t>Unearned Revenue, Current</t>
  </si>
  <si>
    <t>Other Current Liabilities</t>
  </si>
  <si>
    <t xml:space="preserve">  Total Current Liabilities</t>
  </si>
  <si>
    <t>Long-Term Debt</t>
  </si>
  <si>
    <t>Long-Term Leases</t>
  </si>
  <si>
    <t>Finance Div. Debt Non-Curr.</t>
  </si>
  <si>
    <t>Finance Div. Other Non-Curr. Liab.</t>
  </si>
  <si>
    <t>Unearned Revenue, Non-Current</t>
  </si>
  <si>
    <t>Pension &amp; Other Post-Retire. Benefits</t>
  </si>
  <si>
    <t>Def. Tax Liability, Non-Curr.</t>
  </si>
  <si>
    <t>Other Non-Current Liabilities</t>
  </si>
  <si>
    <t>Total Liabilities</t>
  </si>
  <si>
    <t>Common Stock</t>
  </si>
  <si>
    <t>Additional Paid In Capital</t>
  </si>
  <si>
    <t>Retained Earnings</t>
  </si>
  <si>
    <t>Treasury Stock</t>
  </si>
  <si>
    <t>Comprehensive Inc. and Other</t>
  </si>
  <si>
    <t xml:space="preserve">  Total Common Equity</t>
  </si>
  <si>
    <t>Minority Interest</t>
  </si>
  <si>
    <t>Total Equity</t>
  </si>
  <si>
    <t>Total Liabilities And Equity</t>
  </si>
  <si>
    <t>Total Shares Out. on Filing Date</t>
  </si>
  <si>
    <t>Total Shares Out. on Balance Sheet Date</t>
  </si>
  <si>
    <t>Book Value/Share</t>
  </si>
  <si>
    <t>Tangible Book Value</t>
  </si>
  <si>
    <t>Tangible Book Value/Share</t>
  </si>
  <si>
    <t>Total Debt</t>
  </si>
  <si>
    <t>Net Debt</t>
  </si>
  <si>
    <t>Debt Equiv. of Unfunded Proj. Benefit Obligation</t>
  </si>
  <si>
    <t>Debt Equivalent Oper. Leases</t>
  </si>
  <si>
    <t>Total Minority Interest</t>
  </si>
  <si>
    <t>Equity Method Investments</t>
  </si>
  <si>
    <t>Inventory Method</t>
  </si>
  <si>
    <t>Avg Cost</t>
  </si>
  <si>
    <t>Raw Materials Inventory</t>
  </si>
  <si>
    <t>Work in Progress Inventory</t>
  </si>
  <si>
    <t>Finished Goods Inventory</t>
  </si>
  <si>
    <t>Land</t>
  </si>
  <si>
    <t>Machinery</t>
  </si>
  <si>
    <t>Construction in Progress</t>
  </si>
  <si>
    <t>Full Time Employees</t>
  </si>
  <si>
    <t>Assets under Cap. Lease, Gross</t>
  </si>
  <si>
    <t>Assets under Cap. Lease, Accum. Depr.</t>
  </si>
  <si>
    <t>Accum. Allowance for Doubtful Accts</t>
  </si>
  <si>
    <t>Note: For multiple class companies, total share counts are primary class equivalent, and for foreign companies listed as primary ADRs, total share counts are ADR-equivalent.</t>
  </si>
  <si>
    <t>Tesco PLC (LSE:TSCO) &gt; Financials &gt; Cash Flow</t>
  </si>
  <si>
    <t>Cash Flow</t>
  </si>
  <si>
    <t>Restated
12 months
Feb-29-2020</t>
  </si>
  <si>
    <t>12 months
Feb-26-2022</t>
  </si>
  <si>
    <t>12 months
Feb-24-2024</t>
  </si>
  <si>
    <t>Depreciation &amp; Amort., Total</t>
  </si>
  <si>
    <t>Other Amortization</t>
  </si>
  <si>
    <t>(Gain) Loss From Sale Of Assets</t>
  </si>
  <si>
    <t>(Gain) Loss On Sale Of Invest.</t>
  </si>
  <si>
    <t>Asset Writedown &amp; Restructuring Costs</t>
  </si>
  <si>
    <t>Provision for Credit Losses</t>
  </si>
  <si>
    <t>(Income) Loss on Equity Invest.</t>
  </si>
  <si>
    <t>Stock-Based Compensation</t>
  </si>
  <si>
    <t>Net Cash From Discontinued Ops.</t>
  </si>
  <si>
    <t>Other Operating Activities</t>
  </si>
  <si>
    <t>Change in Acc. Receivable</t>
  </si>
  <si>
    <t>Change In Inventories</t>
  </si>
  <si>
    <t>Change in Acc. Payable</t>
  </si>
  <si>
    <t>Change in Inc. Taxes</t>
  </si>
  <si>
    <t>Change in Other Net Operating Assets</t>
  </si>
  <si>
    <t xml:space="preserve">  Cash from Ops.</t>
  </si>
  <si>
    <t>Capital Expenditure</t>
  </si>
  <si>
    <t>Sale of Property, Plant, and Equipment</t>
  </si>
  <si>
    <t>Cash Acquisitions</t>
  </si>
  <si>
    <t>Divestitures</t>
  </si>
  <si>
    <t>Sale (Purchase) of Intangible assets</t>
  </si>
  <si>
    <t>Invest. in Marketable &amp; Equity Securt.</t>
  </si>
  <si>
    <t>Net (Inc.) Dec. in Loans Originated/Sold</t>
  </si>
  <si>
    <t>Other Investing Activities</t>
  </si>
  <si>
    <t xml:space="preserve">  Cash from Investing</t>
  </si>
  <si>
    <t>Short Term Debt Issued</t>
  </si>
  <si>
    <t>Long-Term Debt Issued</t>
  </si>
  <si>
    <t>Total Debt Issued</t>
  </si>
  <si>
    <t>Short Term Debt Repaid</t>
  </si>
  <si>
    <t>Long-Term Debt Repaid</t>
  </si>
  <si>
    <t>Total Debt Repaid</t>
  </si>
  <si>
    <t>Issuance of Common Stock</t>
  </si>
  <si>
    <t>Repurchase of Common Stock</t>
  </si>
  <si>
    <t>Common Dividends Paid</t>
  </si>
  <si>
    <t>Total Dividends Paid</t>
  </si>
  <si>
    <t>Special Dividend Paid</t>
  </si>
  <si>
    <t>Other Financing Activities</t>
  </si>
  <si>
    <t xml:space="preserve">  Cash from Financing</t>
  </si>
  <si>
    <t>Foreign Exchange Rate Adj.</t>
  </si>
  <si>
    <t>Misc. Cash Flow Adj.</t>
  </si>
  <si>
    <t xml:space="preserve">  Net Change in Cash</t>
  </si>
  <si>
    <t>Cash Interest Paid</t>
  </si>
  <si>
    <t>Cash Taxes Paid</t>
  </si>
  <si>
    <t>Levered Free Cash Flow</t>
  </si>
  <si>
    <t>Unlevered Free Cash Flow</t>
  </si>
  <si>
    <t>Change in Net Working Capital</t>
  </si>
  <si>
    <t>Net Debt Issued</t>
  </si>
  <si>
    <t>Net Cash From Discontinued Ops. - Investing</t>
  </si>
  <si>
    <t>Borrower</t>
  </si>
  <si>
    <t>Tesco PLC (LSE: TSCO)</t>
  </si>
  <si>
    <t>Analyst</t>
  </si>
  <si>
    <t>Legend</t>
  </si>
  <si>
    <t>Input</t>
  </si>
  <si>
    <t>Date</t>
  </si>
  <si>
    <t>Extracted from Financials</t>
  </si>
  <si>
    <t>Rounding Units</t>
  </si>
  <si>
    <t>Summation</t>
  </si>
  <si>
    <t>Statement Date</t>
  </si>
  <si>
    <t>Periods</t>
  </si>
  <si>
    <t>Financial Current Assets</t>
  </si>
  <si>
    <t>Operating Current Assets</t>
  </si>
  <si>
    <t>Operating Non-Current Assets</t>
  </si>
  <si>
    <t>Loans Due Within 1 Yr</t>
  </si>
  <si>
    <t>Finance Lease/HP Due Within 1 Yr</t>
  </si>
  <si>
    <t>Financial Current Liabilities</t>
  </si>
  <si>
    <t>Operating Current Liabilities</t>
  </si>
  <si>
    <t>Loans Due After 1 Yr</t>
  </si>
  <si>
    <t>Finance Lease/HP Due After 1 Yr</t>
  </si>
  <si>
    <t>Total LTD</t>
  </si>
  <si>
    <t>Operating EBITDA</t>
  </si>
  <si>
    <t>Operating EBIDA</t>
  </si>
  <si>
    <t>Others</t>
  </si>
  <si>
    <t>Operating EBIDA After Maintenance CAPEX</t>
  </si>
  <si>
    <t>ROE as per Source Doc</t>
  </si>
  <si>
    <t>N: Number of years (Benchmark: N = 7 years)</t>
  </si>
  <si>
    <t>Discount Rate % (Benchmark: Discount rate = 6%)</t>
  </si>
  <si>
    <t>Off Balance Sheet Items</t>
  </si>
  <si>
    <t>Subtotal</t>
  </si>
  <si>
    <t>Industry-Specific Adjsutments</t>
  </si>
  <si>
    <t>Cash (Collateralised)</t>
  </si>
  <si>
    <t>Properties/L&amp;B (Mortgaged)</t>
  </si>
  <si>
    <t>Other Assets (Collateralised)</t>
  </si>
  <si>
    <t>Created by Yong Syn Yew</t>
  </si>
  <si>
    <t>Tesco PLC (LSE:TSCO) &gt; Financials &gt; Multiples</t>
  </si>
  <si>
    <t>View:</t>
  </si>
  <si>
    <t>Data</t>
  </si>
  <si>
    <t>Frequency:</t>
  </si>
  <si>
    <t>Quarterly</t>
  </si>
  <si>
    <t>Multiples Detail
                     In Millions of the reported currency, except per share items.</t>
  </si>
  <si>
    <t>For Quarter Ending</t>
  </si>
  <si>
    <t>TEV/LTM Total Revenue</t>
  </si>
  <si>
    <t>Average</t>
  </si>
  <si>
    <t>High</t>
  </si>
  <si>
    <t>Low</t>
  </si>
  <si>
    <t>Close</t>
  </si>
  <si>
    <t>TEV/NTM Total Revenues</t>
  </si>
  <si>
    <t>TEV/LTM EBITDA</t>
  </si>
  <si>
    <t>TEV/NTM EBITDA</t>
  </si>
  <si>
    <t>TEV/LTM EBIT</t>
  </si>
  <si>
    <t>TEV/NTM EBIT</t>
  </si>
  <si>
    <t>P/LTM EPS</t>
  </si>
  <si>
    <t>P/NTM EPS</t>
  </si>
  <si>
    <t>P/LTM Normalized EPS</t>
  </si>
  <si>
    <t>P/Tangible BV</t>
  </si>
  <si>
    <t>P/NTM CFPS</t>
  </si>
  <si>
    <t>TEV/LTM Unlevered FCF</t>
  </si>
  <si>
    <t>Market Cap/LTM Levered FCF</t>
  </si>
  <si>
    <t>Average multiples are calculated using positive close values on each trading day within the frequency periods selected. Negative values are excluded from the calculation. When the Multiples are not meaningful, due to negative values, then they will not be displayed in the chart.</t>
  </si>
  <si>
    <t>When a mismatch exists between the currency of the equity listing and the reported financial results such results are translated into the currency of the listing at the exchange rate applicable on the financial period end date.</t>
  </si>
  <si>
    <t>Historical Equity Pricing Data supplied by Interactive Data Pricing and Reference Data LLC</t>
  </si>
  <si>
    <t>Tesco PLC (LSE:TSCO) &gt; Financials &gt; Historical Capitalization</t>
  </si>
  <si>
    <t>Historical Capitalization</t>
  </si>
  <si>
    <t>Pricing as of*</t>
  </si>
  <si>
    <t>Capitalization Detail</t>
  </si>
  <si>
    <t>* Pricing as of the filing date of the balance sheet period end date. For TEV calculation purposes on this page Capital IQ only uses balance sheet components from the original filing that is publicly available as of a given pricing date and does not use restated balance sheet data from a later filing. In the cases where a company did not disclose balance sheet values for a particular period, TEV is calculated using balance sheet components from the last reported balance sheet as of this date. The table above is organized along period end dates.</t>
  </si>
  <si>
    <t>** For companies that have multiple share classes that publicly trade, we are incorporating the different prices to calculate our company level market capitalization.  Please click on the value to see the detailed calculation. Prices shown on this page are the close price of the company’s primary stock class. Shares shown on this page are total company as-reported share values.</t>
  </si>
  <si>
    <t>Tesco PLC (LSE:TSCO) &gt; Financials &gt; Ratios</t>
  </si>
  <si>
    <t>Ratios</t>
  </si>
  <si>
    <t>12 months
Feb-29-2020</t>
  </si>
  <si>
    <t>12 months
Feb-27-2021</t>
  </si>
  <si>
    <t>12 months
Feb-25-2023</t>
  </si>
  <si>
    <t>Profitability</t>
  </si>
  <si>
    <t xml:space="preserve">  Return on Assets %</t>
  </si>
  <si>
    <t xml:space="preserve">  Return on Capital %</t>
  </si>
  <si>
    <t xml:space="preserve">  Return on Equity %</t>
  </si>
  <si>
    <t xml:space="preserve">  Return on Common Equity %</t>
  </si>
  <si>
    <t>Margin Analysis</t>
  </si>
  <si>
    <t xml:space="preserve">  Gross Margin %</t>
  </si>
  <si>
    <t xml:space="preserve">  SG&amp;A Margin %</t>
  </si>
  <si>
    <t xml:space="preserve">  EBITDA Margin %</t>
  </si>
  <si>
    <t xml:space="preserve">  EBITA Margin %</t>
  </si>
  <si>
    <t xml:space="preserve">  EBIT Margin %</t>
  </si>
  <si>
    <t xml:space="preserve">  Earnings from Cont. Ops Margin %</t>
  </si>
  <si>
    <t xml:space="preserve">  Net Income Margin %</t>
  </si>
  <si>
    <t xml:space="preserve">  Net Income Avail. for Common Margin %</t>
  </si>
  <si>
    <t xml:space="preserve">  Normalized Net Income Margin %</t>
  </si>
  <si>
    <t xml:space="preserve">  Levered Free Cash Flow Margin %</t>
  </si>
  <si>
    <t xml:space="preserve">  Unlevered Free Cash Flow Margin %</t>
  </si>
  <si>
    <t>Asset Turnover</t>
  </si>
  <si>
    <t xml:space="preserve">  Total Asset Turnover</t>
  </si>
  <si>
    <t xml:space="preserve">  Fixed Asset Turnover</t>
  </si>
  <si>
    <t xml:space="preserve">  Accounts Receivable Turnover</t>
  </si>
  <si>
    <t xml:space="preserve">  Inventory Turnover</t>
  </si>
  <si>
    <t>Short Term Liquidity</t>
  </si>
  <si>
    <t xml:space="preserve">  Current Ratio</t>
  </si>
  <si>
    <t xml:space="preserve">  Quick Ratio</t>
  </si>
  <si>
    <t xml:space="preserve">  Cash from Ops. to Curr. Liab.</t>
  </si>
  <si>
    <t xml:space="preserve">  Avg. Days Sales Out.</t>
  </si>
  <si>
    <t xml:space="preserve">  Avg. Days Inventory Out.</t>
  </si>
  <si>
    <t xml:space="preserve">  Avg. Days Payable Out.</t>
  </si>
  <si>
    <t xml:space="preserve">  Avg. Cash Conversion Cycle</t>
  </si>
  <si>
    <t>Long Term Solvency</t>
  </si>
  <si>
    <t xml:space="preserve">  Total Debt/Equity</t>
  </si>
  <si>
    <t xml:space="preserve">  Total Debt/Capital</t>
  </si>
  <si>
    <t xml:space="preserve">  LT Debt/Equity</t>
  </si>
  <si>
    <t xml:space="preserve">  LT Debt/Capital</t>
  </si>
  <si>
    <t xml:space="preserve">  Total Liabilities/Total Assets</t>
  </si>
  <si>
    <t xml:space="preserve">  EBIT / Interest Exp.</t>
  </si>
  <si>
    <t xml:space="preserve">  EBITDA / Interest Exp.</t>
  </si>
  <si>
    <t xml:space="preserve">  (EBITDA-CAPEX) / Interest Exp.</t>
  </si>
  <si>
    <t xml:space="preserve">  Total Debt/EBITDA</t>
  </si>
  <si>
    <t xml:space="preserve">  Net Debt/EBITDA</t>
  </si>
  <si>
    <t xml:space="preserve">  Total Debt/(EBITDA-CAPEX)</t>
  </si>
  <si>
    <t xml:space="preserve">  Net Debt/(EBITDA-CAPEX)</t>
  </si>
  <si>
    <t xml:space="preserve">  Altman Z Score</t>
  </si>
  <si>
    <t>Growth Over Prior Year</t>
  </si>
  <si>
    <t xml:space="preserve">  EBITDA</t>
  </si>
  <si>
    <t xml:space="preserve">  EBITA</t>
  </si>
  <si>
    <t xml:space="preserve">  EBIT</t>
  </si>
  <si>
    <t xml:space="preserve">  Normalized Net Income</t>
  </si>
  <si>
    <t xml:space="preserve">  Diluted EPS before Extra</t>
  </si>
  <si>
    <t xml:space="preserve">  Accounts Receivable</t>
  </si>
  <si>
    <t xml:space="preserve">  Inventory</t>
  </si>
  <si>
    <t xml:space="preserve">  Net PP&amp;E</t>
  </si>
  <si>
    <t xml:space="preserve">  Total Assets</t>
  </si>
  <si>
    <t xml:space="preserve">  Tangible Book Value</t>
  </si>
  <si>
    <t xml:space="preserve">  Common Equity</t>
  </si>
  <si>
    <t xml:space="preserve">  Capital Expenditures</t>
  </si>
  <si>
    <t xml:space="preserve">  Levered Free Cash Flow</t>
  </si>
  <si>
    <t xml:space="preserve">  Unlevered Free Cash Flow</t>
  </si>
  <si>
    <t xml:space="preserve">  Dividend per Share</t>
  </si>
  <si>
    <t>Compound Annual Growth Rate Over Two Years</t>
  </si>
  <si>
    <t>Compound Annual Growth Rate Over Three Years</t>
  </si>
  <si>
    <t>Compound Annual Growth Rate Over Five Years</t>
  </si>
  <si>
    <t>Tesco PLC (LSE:TSCO) &gt; Financials &gt; Supplemental</t>
  </si>
  <si>
    <t>Supplemental</t>
  </si>
  <si>
    <t>Options Outstanding</t>
  </si>
  <si>
    <t>Options Out. at the Beginning of the Period</t>
  </si>
  <si>
    <t>Options Granted During the Period</t>
  </si>
  <si>
    <t>Options Exercised During the Period</t>
  </si>
  <si>
    <t>Options Cancelled During the Period</t>
  </si>
  <si>
    <t>Options Out. at the End of the Period</t>
  </si>
  <si>
    <t>W/Avg. Strike Price of Out. at the End of the Period</t>
  </si>
  <si>
    <t>W/Avg. Strike Price of Granted</t>
  </si>
  <si>
    <t>Options Outstanding - All Classes</t>
  </si>
  <si>
    <t>Stock Based Compensation</t>
  </si>
  <si>
    <t>Stock Based Comp. Exp., Before Tax</t>
  </si>
  <si>
    <t>Loss Carry Forward Related Items</t>
  </si>
  <si>
    <t>NOL C/F, Current Year</t>
  </si>
  <si>
    <t>NOL C/F, Current Year + 1</t>
  </si>
  <si>
    <t>NOL C/F, Current Year + 2</t>
  </si>
  <si>
    <t>NOL C/F, Current Year + 3</t>
  </si>
  <si>
    <t>NOL C/F, After Five Years</t>
  </si>
  <si>
    <t>NOL C/F, No Expiration</t>
  </si>
  <si>
    <t>Total NOL C/F</t>
  </si>
  <si>
    <t>Capital Loss C/F, After Five Years</t>
  </si>
  <si>
    <t>Total Capital Loss C/F</t>
  </si>
  <si>
    <t>Capitalized Interest Data</t>
  </si>
  <si>
    <t>Interest Capitalized, End Of Period</t>
  </si>
  <si>
    <t>Fair Value Measurements</t>
  </si>
  <si>
    <t>Level 1 Assets - Quoted Prices</t>
  </si>
  <si>
    <t>Level 2 Assets - Observable Prices</t>
  </si>
  <si>
    <t>Level 3 Assets - Unobservable Prices</t>
  </si>
  <si>
    <t>Fair Value of Assets</t>
  </si>
  <si>
    <t>Level 1 Liabilities - Quoted Prices</t>
  </si>
  <si>
    <t>Level 2 Liabilities - Observable Prices</t>
  </si>
  <si>
    <t>Level 3 Liabilities - Unobservable Prices</t>
  </si>
  <si>
    <t>Fair Value of Liabilities</t>
  </si>
  <si>
    <t>Fair Value Change Included in Earnings</t>
  </si>
  <si>
    <t>Tesco PLC (LSE:TSCO) &gt; Financials &gt; Industry Specific</t>
  </si>
  <si>
    <t>Industry Specific</t>
  </si>
  <si>
    <t>Retail Specific Data</t>
  </si>
  <si>
    <t>Stores at Beginning</t>
  </si>
  <si>
    <t>Stores Opened</t>
  </si>
  <si>
    <t>Stores Closed</t>
  </si>
  <si>
    <t>Total Stores</t>
  </si>
  <si>
    <t xml:space="preserve">Total Same Store Sales Growth </t>
  </si>
  <si>
    <t>Operating Margin</t>
  </si>
  <si>
    <t>Retail Revenues</t>
  </si>
  <si>
    <t>Online Revenues</t>
  </si>
  <si>
    <t>Total Retail Sq. Ft. (Net)</t>
  </si>
  <si>
    <t>Owned / Operated Store Data</t>
  </si>
  <si>
    <t>Owned/Operated Stores at Beginning</t>
  </si>
  <si>
    <t>Owned/Operated Stores Opened</t>
  </si>
  <si>
    <t>Owned/Operated Stores Closed</t>
  </si>
  <si>
    <t>Total Owned/Operated Stores</t>
  </si>
  <si>
    <t>Owned/Operated Same Store Sales Growth</t>
  </si>
  <si>
    <t>Franchise Store Data</t>
  </si>
  <si>
    <t>Franchise Stores at Beginning</t>
  </si>
  <si>
    <t>Franchise Stores Opened</t>
  </si>
  <si>
    <t>Franchise Stores Closed</t>
  </si>
  <si>
    <t>Total Franchise Stores</t>
  </si>
  <si>
    <t>Affiliated Stores Data</t>
  </si>
  <si>
    <t>Affiliated and Other Stores at Beginning</t>
  </si>
  <si>
    <t>Total Affiliated and Other Stores</t>
  </si>
  <si>
    <t>Tesco PLC (LSE:TSCO) &gt; Financials &gt; Pension/OPEB</t>
  </si>
  <si>
    <t>Pension/OPEB</t>
  </si>
  <si>
    <t>Pension Information - Total</t>
  </si>
  <si>
    <t>Defined Benefit Net Periodic Cost</t>
  </si>
  <si>
    <t>Def. Benefit Service Cost</t>
  </si>
  <si>
    <t>Def. Benefit Plan Interest Cost</t>
  </si>
  <si>
    <t>Def. Benefit Plan Return on Assets</t>
  </si>
  <si>
    <t>Def. Benefit Plan Other Cost</t>
  </si>
  <si>
    <t>Def. Benefit Plan Total Cost</t>
  </si>
  <si>
    <t>Def. Contribution Plan Cost</t>
  </si>
  <si>
    <t>Total Pension Expense</t>
  </si>
  <si>
    <t>Defined Benefit Obligation</t>
  </si>
  <si>
    <t>Beg. Def. Benefit Obligation</t>
  </si>
  <si>
    <t xml:space="preserve">Def. Benefit Service Cost </t>
  </si>
  <si>
    <t>Def. Benefit Interest Cost</t>
  </si>
  <si>
    <t>Def. Benefit Employee Contributions</t>
  </si>
  <si>
    <t>Def. Benefit Actuarial Gain/Losses</t>
  </si>
  <si>
    <t xml:space="preserve">Def. Benefits Paid </t>
  </si>
  <si>
    <t>Foreign Exchange Adj.</t>
  </si>
  <si>
    <t>Acq. Benefit Obligation</t>
  </si>
  <si>
    <t>Def. Benefit Settlement/Curtailment</t>
  </si>
  <si>
    <t>Other Adj. To Def. Benefit Obligation</t>
  </si>
  <si>
    <t>Proj. Benefit Obligation (Pension)</t>
  </si>
  <si>
    <t>Plan Assets</t>
  </si>
  <si>
    <t>Beg. Plan Assets</t>
  </si>
  <si>
    <t>Actual Return on Plan Assets</t>
  </si>
  <si>
    <t>Employer Contributions</t>
  </si>
  <si>
    <t>Participant Contributions</t>
  </si>
  <si>
    <t>Benefits Paid</t>
  </si>
  <si>
    <t>Foreign Exchange Adjustments</t>
  </si>
  <si>
    <t>Acquired Plan Assets</t>
  </si>
  <si>
    <t>Plan Settlement/Curtailment</t>
  </si>
  <si>
    <t>Other Plan Adjustments</t>
  </si>
  <si>
    <t>Total Plan Assets</t>
  </si>
  <si>
    <t>Weighted Avg. Assumptions on Net Periodic Cost</t>
  </si>
  <si>
    <t>Exp. Long-Term Rate of Return on Assets - Min</t>
  </si>
  <si>
    <t>Exp. Long-Term Rate of Return on Assets - Max</t>
  </si>
  <si>
    <t>Breakdown of Plan Assets</t>
  </si>
  <si>
    <t>Plan Assets - Equities (%)</t>
  </si>
  <si>
    <t>Plan Assets - Fixed Income (%)</t>
  </si>
  <si>
    <t>Plan Assets- Real Estate (%)</t>
  </si>
  <si>
    <t>Other Plan Assets (%)</t>
  </si>
  <si>
    <t>Plan Assets - Equities</t>
  </si>
  <si>
    <t>Plan Assets - Fixed Income</t>
  </si>
  <si>
    <t>Plan Assets- Real Estate</t>
  </si>
  <si>
    <t>Other Plan Assets</t>
  </si>
  <si>
    <t>Weighted Avg. Assumptions on Def. Benefit Obligation</t>
  </si>
  <si>
    <t>PBO Assumed Rate of Return - Min</t>
  </si>
  <si>
    <t>PBO Assumed Rate of Return - Max</t>
  </si>
  <si>
    <t>Rate of PBO Compensation Increase - Min</t>
  </si>
  <si>
    <t>Rate of PBO Compensation Increase - Max</t>
  </si>
  <si>
    <t>Balance Sheet Reconciliation Items</t>
  </si>
  <si>
    <t>Other Assets/Liabilities</t>
  </si>
  <si>
    <t>Adj. for Liability Recognized on Balance Sheet</t>
  </si>
  <si>
    <t>Other Adj. (Net Benefit Asset/Liab.)</t>
  </si>
  <si>
    <t>Net Asset/Liability Recognized on Balance Sheet</t>
  </si>
  <si>
    <t>Consolidated Balance Sheet Amounts</t>
  </si>
  <si>
    <t>Long Term Assets</t>
  </si>
  <si>
    <t>Long Term Liabilities</t>
  </si>
  <si>
    <t>Other Pension Related Items</t>
  </si>
  <si>
    <t>Est. Contributions - Next Year</t>
  </si>
  <si>
    <t>Benefit Info Date</t>
  </si>
  <si>
    <t>OPEB Information - Total</t>
  </si>
  <si>
    <t>Def. Benefit Total Cost</t>
  </si>
  <si>
    <t>Total OPEB Expense</t>
  </si>
  <si>
    <t>Benefits Sensitivity Analysis</t>
  </si>
  <si>
    <t>1% Increase - Effect on Service and Interest Cost</t>
  </si>
  <si>
    <t>1% Increase - Effect on PBO</t>
  </si>
  <si>
    <t>1% Decrease - Effect on Service and Interest Cost</t>
  </si>
  <si>
    <t>1% Decrease - Effect on PBO</t>
  </si>
  <si>
    <t>Other Post-Retirement Benefit Related Items</t>
  </si>
  <si>
    <t>Pension Information - Domestic</t>
  </si>
  <si>
    <t xml:space="preserve">Def. Benefit Interest Cost </t>
  </si>
  <si>
    <t xml:space="preserve">Def. Benefit Return On Assets </t>
  </si>
  <si>
    <t xml:space="preserve">Def. Benefit Other Cost </t>
  </si>
  <si>
    <t xml:space="preserve">Def. Benefit Total Cost </t>
  </si>
  <si>
    <t xml:space="preserve">Beg. Def. Benefit Obligation </t>
  </si>
  <si>
    <t xml:space="preserve">Def. Benefit Employee Contributions </t>
  </si>
  <si>
    <t xml:space="preserve">Def. Benefit Actuarial Gain/Losses </t>
  </si>
  <si>
    <t xml:space="preserve">Foreign Exchange Adj. </t>
  </si>
  <si>
    <t xml:space="preserve">Acq. Benefit Obligation </t>
  </si>
  <si>
    <t xml:space="preserve">Def. Benefit Settlement/Curtailment </t>
  </si>
  <si>
    <t xml:space="preserve">Other Adj. To Def. Benefit Obligation </t>
  </si>
  <si>
    <t>Proj. Benefit Obligation (Pension) - Domestic</t>
  </si>
  <si>
    <t xml:space="preserve">Beg. Plan Assets </t>
  </si>
  <si>
    <t xml:space="preserve">Actual Return on Plan Assets </t>
  </si>
  <si>
    <t xml:space="preserve">Employer Contributions </t>
  </si>
  <si>
    <t xml:space="preserve">Participant Contributions </t>
  </si>
  <si>
    <t xml:space="preserve">Benefits Paid </t>
  </si>
  <si>
    <t xml:space="preserve">Foreign Exchange Adjustments </t>
  </si>
  <si>
    <t xml:space="preserve">Acquired Plan Assets </t>
  </si>
  <si>
    <t xml:space="preserve">Plan Settlement/Curtailment </t>
  </si>
  <si>
    <t xml:space="preserve">Other Plan Adjustments </t>
  </si>
  <si>
    <t xml:space="preserve">Total Plan Assets </t>
  </si>
  <si>
    <t xml:space="preserve">Exp. Long-Term Rate of Return on Assets - Min </t>
  </si>
  <si>
    <t xml:space="preserve">Exp. Long-Term Rate of Return on Assets - Max </t>
  </si>
  <si>
    <t xml:space="preserve">Plan Assets - Equities </t>
  </si>
  <si>
    <t xml:space="preserve">Plan Assets - Fixed Income </t>
  </si>
  <si>
    <t xml:space="preserve">Plan Assets- Real Estate </t>
  </si>
  <si>
    <t xml:space="preserve">Other Plan Assets </t>
  </si>
  <si>
    <t xml:space="preserve">Rate of PBO Compensation Increase - Min </t>
  </si>
  <si>
    <t xml:space="preserve">Rate of PBO Compensation Increase - Max </t>
  </si>
  <si>
    <t xml:space="preserve">Other Assets/Liabilities </t>
  </si>
  <si>
    <t xml:space="preserve">Other Adj. (Net Benefit Asset/Liab.) </t>
  </si>
  <si>
    <t xml:space="preserve">Net Asset/Liability Recognized on Balance Sheet </t>
  </si>
  <si>
    <t xml:space="preserve">Est. Contributions - Next Year </t>
  </si>
  <si>
    <t>OPEB Information - Domestic</t>
  </si>
  <si>
    <t xml:space="preserve">1% Increase - Effect on Service and Interest Cost </t>
  </si>
  <si>
    <t xml:space="preserve">1% Increase - Effect on PBO </t>
  </si>
  <si>
    <t xml:space="preserve">1% Decrease - Effect on Service and Interest Cost </t>
  </si>
  <si>
    <t xml:space="preserve">1% Decrease - Effect on PBO </t>
  </si>
  <si>
    <t>Pension Information - Foreign</t>
  </si>
  <si>
    <t>OPEB Information - Foreign</t>
  </si>
  <si>
    <t>Tesco PLC (LSE:TSCO) &gt; Financials &gt; Segments</t>
  </si>
  <si>
    <t>In Millions of the reported currency.</t>
  </si>
  <si>
    <t>View By:</t>
  </si>
  <si>
    <t>Line Items</t>
  </si>
  <si>
    <t>Business Segments</t>
  </si>
  <si>
    <t>Revenues</t>
  </si>
  <si>
    <t>Insurance and Money Services</t>
  </si>
  <si>
    <t>Retailing and Associated Activities</t>
  </si>
  <si>
    <t>Banking Operations - Discontinued Operations</t>
  </si>
  <si>
    <t>Retailing – UK</t>
  </si>
  <si>
    <t>Property Development</t>
  </si>
  <si>
    <t>Retailing – Rest of Europe</t>
  </si>
  <si>
    <t>Retailing – Asia</t>
  </si>
  <si>
    <t xml:space="preserve">  Total Revenues</t>
  </si>
  <si>
    <t>Gross Profit Before Tax</t>
  </si>
  <si>
    <t xml:space="preserve">  Total Gross Profit Before Tax</t>
  </si>
  <si>
    <t>Operating Profit Before Tax</t>
  </si>
  <si>
    <t>Other/Corporate</t>
  </si>
  <si>
    <t xml:space="preserve">  Total Operating Profit Before Tax</t>
  </si>
  <si>
    <t xml:space="preserve">  Total Interest Expense</t>
  </si>
  <si>
    <t>Net Profit Before Tax</t>
  </si>
  <si>
    <t xml:space="preserve">  Total Net Profit Before Tax</t>
  </si>
  <si>
    <t>Tax Expense</t>
  </si>
  <si>
    <t xml:space="preserve">  Total Tax Expense</t>
  </si>
  <si>
    <t>Net Profit After Tax</t>
  </si>
  <si>
    <t xml:space="preserve">  Total Net Profit After Tax</t>
  </si>
  <si>
    <t>Assets</t>
  </si>
  <si>
    <t>Discontinued Operations</t>
  </si>
  <si>
    <t>Unallocated Loans to Joint Ventures</t>
  </si>
  <si>
    <t>Unallocated Derivative Financial Instrument Non-Current Assets</t>
  </si>
  <si>
    <t>Unallocated Net Interest and Other Receivables</t>
  </si>
  <si>
    <t>Unallocated</t>
  </si>
  <si>
    <t>Depreciation &amp; Amortization</t>
  </si>
  <si>
    <t xml:space="preserve">  Total Depreciation &amp; Amortization</t>
  </si>
  <si>
    <t xml:space="preserve">  Total Capital Expenditure</t>
  </si>
  <si>
    <t>Geographic Segments</t>
  </si>
  <si>
    <t>United Kingdom and Republic of Ireland</t>
  </si>
  <si>
    <t>Hungary</t>
  </si>
  <si>
    <t>Czech Republic</t>
  </si>
  <si>
    <t>Slovakia</t>
  </si>
  <si>
    <t>Central Europe</t>
  </si>
  <si>
    <t>United Kingdom (UK)</t>
  </si>
  <si>
    <t>Other (Including Tesco Bank)</t>
  </si>
  <si>
    <t>Asia</t>
  </si>
  <si>
    <t>International</t>
  </si>
  <si>
    <t>Rest of Europe</t>
  </si>
  <si>
    <t>United States (US)</t>
  </si>
  <si>
    <t>Corporate</t>
  </si>
  <si>
    <t>Dupont Analysis</t>
  </si>
  <si>
    <t>ROE Computed Based on 3 Components</t>
  </si>
  <si>
    <t>COE</t>
  </si>
  <si>
    <t>1. Profit Margin</t>
  </si>
  <si>
    <t>Net Profit</t>
  </si>
  <si>
    <t>2. Asset Turnover</t>
  </si>
  <si>
    <t>3. Financial Leverage</t>
  </si>
  <si>
    <t>3.1 Financial Leverage</t>
  </si>
  <si>
    <t>STD</t>
  </si>
  <si>
    <t>LTD</t>
  </si>
  <si>
    <t>Gross Debt</t>
  </si>
  <si>
    <t>Other Liabilities</t>
  </si>
  <si>
    <t>Marketing Decisions and Outcome</t>
  </si>
  <si>
    <t>Operating Decisions and Outcome</t>
  </si>
  <si>
    <t>Operating Multiplier</t>
  </si>
  <si>
    <t>Financing Decisions and Outcome</t>
  </si>
  <si>
    <t>Financing Multiplier</t>
  </si>
  <si>
    <t>Enterprise Value Analysis</t>
  </si>
  <si>
    <t>Enterprise Value</t>
  </si>
  <si>
    <t>Add: Non-controlling Interest</t>
  </si>
  <si>
    <t>Add: Pref Share/Perp Bond</t>
  </si>
  <si>
    <t>Less: Restricted Cash</t>
  </si>
  <si>
    <t>Include Cash &amp; Fixed Deposits</t>
  </si>
  <si>
    <t>Less: Cash &amp; Fixed Deposits</t>
  </si>
  <si>
    <t>Total Net Debt</t>
  </si>
  <si>
    <t>Yes</t>
  </si>
  <si>
    <t>Equity Value (Market Value)</t>
  </si>
  <si>
    <t>A. Breakeven EBITDA Multiples</t>
  </si>
  <si>
    <t>ADVANCED ANALYSIS</t>
  </si>
  <si>
    <t>B. Premium/(Discount) over Book Value of Equity</t>
  </si>
  <si>
    <t>Book Value (TNW)</t>
  </si>
  <si>
    <t>Benchmark range 3x-6x</t>
  </si>
  <si>
    <t>Country Specific EV/EBITDA Multiples:</t>
  </si>
  <si>
    <t>&lt;insert dbs care link for EV-Multiples&gt;</t>
  </si>
  <si>
    <t>Adjujsted Working Capital Analysis</t>
  </si>
  <si>
    <t xml:space="preserve">A. Adjujsted Working Capital Analysis </t>
  </si>
  <si>
    <t xml:space="preserve">Current Assets </t>
  </si>
  <si>
    <t>Adjusted CA</t>
  </si>
  <si>
    <t xml:space="preserve">Less: Financial Current Assets </t>
  </si>
  <si>
    <t>Current Liabilities</t>
  </si>
  <si>
    <t>Less: Financial Current Liabilities</t>
  </si>
  <si>
    <t>Adjusted CL</t>
  </si>
  <si>
    <t>AWC</t>
  </si>
  <si>
    <t>AWC/Revenues</t>
  </si>
  <si>
    <t>Revenue Growth Rate</t>
  </si>
  <si>
    <t>Target AWC (Most Efficient AWC/Revenues)</t>
  </si>
  <si>
    <t>Potential Savings from AWC</t>
  </si>
  <si>
    <t>B. Net Operating Assets Analysis</t>
  </si>
  <si>
    <t xml:space="preserve">Total Assets </t>
  </si>
  <si>
    <t xml:space="preserve">Less: Cash &amp; Cash Equivalents </t>
  </si>
  <si>
    <t>Less: Non-Current Cash &amp; Cash Equivalents</t>
  </si>
  <si>
    <t>Adjusted Total Assets</t>
  </si>
  <si>
    <t>Less: Financial Liabilities</t>
  </si>
  <si>
    <t>Adjusted Total Liabilities</t>
  </si>
  <si>
    <t>NOA Net Operating Assets</t>
  </si>
  <si>
    <t>NOA/Revenues</t>
  </si>
  <si>
    <t>Target NOA (most efficient NOA/Revenues)</t>
  </si>
  <si>
    <t>Potential Savings from NOA</t>
  </si>
  <si>
    <t>Forecast Scenario for AWC/Revenue</t>
  </si>
  <si>
    <t>Best</t>
  </si>
  <si>
    <t>Worst</t>
  </si>
  <si>
    <t>for every dollar generated, required % dollar</t>
  </si>
  <si>
    <t>Debt Capacity Analysis</t>
  </si>
  <si>
    <t>A.Debt Capacity: Supported by Actual Cashflow</t>
  </si>
  <si>
    <t>Less: Maintenance CAPEX + Others</t>
  </si>
  <si>
    <t>Operating EBIDA after Maintenance CAPEX</t>
  </si>
  <si>
    <t>N</t>
  </si>
  <si>
    <t>Interest/Discount Rate</t>
  </si>
  <si>
    <t>B. Number of Years to  Pay Off Current Debt with Actual Cashflow and Debt Outstanding at the End of Period</t>
  </si>
  <si>
    <t>Gross Debt (actual)</t>
  </si>
  <si>
    <t>Debt Capacity Range (computed)</t>
  </si>
  <si>
    <t>Debt Outstanding / Refinancing Risk at the End of Period</t>
  </si>
  <si>
    <t>C. Breakeven Cashflow Required to Pay Off Current Debt Level</t>
  </si>
  <si>
    <t>Breakeven EBIDA</t>
  </si>
  <si>
    <t>Current EBIDA Exceeds Breakeven</t>
  </si>
  <si>
    <t>% of Revenue</t>
  </si>
  <si>
    <t># of days / Revenue</t>
  </si>
  <si>
    <t>N (checked)</t>
  </si>
  <si>
    <t>D. Industry-specific Adjustments</t>
  </si>
  <si>
    <t>1. Debt Capacity (computed)</t>
  </si>
  <si>
    <t>Existing Assets to Repay Shortfalls</t>
  </si>
  <si>
    <t>E. Off Balance Sheet Items</t>
  </si>
  <si>
    <t>This section is for companies with significant contingent liabilities</t>
  </si>
  <si>
    <t>Please determine contingent liabilities from notes to accounts</t>
  </si>
  <si>
    <t>F. Debt / Operating EBITDA Ratios</t>
  </si>
  <si>
    <t>Total Gross Debt / Operating EBITDA</t>
  </si>
  <si>
    <t>LT Debt / Operating EBITDA</t>
  </si>
  <si>
    <t>ST Debt / Operating EBITDA</t>
  </si>
  <si>
    <t>Net Debt / Operating EBITDA</t>
  </si>
  <si>
    <t>Net of Cash &amp; Cash Equivalents and Deposits</t>
  </si>
  <si>
    <t>Repayment Sources and Structuring Guide</t>
  </si>
  <si>
    <t>6-Packs of Cash Flow</t>
  </si>
  <si>
    <t>Core Operating Cash Flow</t>
  </si>
  <si>
    <t>Working Capital</t>
  </si>
  <si>
    <t>OPERATING CASH FLOW</t>
  </si>
  <si>
    <t>Investing in Physical Assets (CAPEX)</t>
  </si>
  <si>
    <t>Investing in Financial Assets</t>
  </si>
  <si>
    <t>INVESTING CASH FLOW</t>
  </si>
  <si>
    <t>Debt Activities</t>
  </si>
  <si>
    <t>Equity Activities</t>
  </si>
  <si>
    <t>FINANCING CASH FLOW</t>
  </si>
  <si>
    <t>TOTAL CASH INFLOW / (OUTFLOW)</t>
  </si>
  <si>
    <t xml:space="preserve">Add: </t>
  </si>
  <si>
    <t>Beginning Cash Equivalents</t>
  </si>
  <si>
    <t>Ending Cash &amp; Equivalents</t>
  </si>
  <si>
    <t>Ending Cash Equivalents</t>
  </si>
  <si>
    <t>Cash to Reconcile</t>
  </si>
  <si>
    <t>Projections</t>
  </si>
  <si>
    <t>Operating EBITDA would not be able to repay the debt</t>
  </si>
  <si>
    <r>
      <t>Add/</t>
    </r>
    <r>
      <rPr>
        <b/>
        <sz val="12"/>
        <color rgb="FFFF0000"/>
        <rFont val="Arial"/>
        <family val="2"/>
      </rPr>
      <t>(Less)</t>
    </r>
  </si>
  <si>
    <r>
      <rPr>
        <b/>
        <sz val="12"/>
        <color rgb="FFFF0000"/>
        <rFont val="Arial"/>
        <family val="2"/>
      </rPr>
      <t>(Less)</t>
    </r>
    <r>
      <rPr>
        <sz val="12"/>
        <rFont val="Arial"/>
        <family val="2"/>
      </rPr>
      <t xml:space="preserve"> Maintenance CAPEX (Actual or depreciation as proxy)</t>
    </r>
  </si>
  <si>
    <r>
      <t xml:space="preserve">1. Repay with </t>
    </r>
    <r>
      <rPr>
        <b/>
        <sz val="12"/>
        <color theme="1"/>
        <rFont val="Arial"/>
        <family val="2"/>
      </rPr>
      <t>FUTURE</t>
    </r>
    <r>
      <rPr>
        <sz val="12"/>
        <color theme="1"/>
        <rFont val="Arial"/>
        <family val="2"/>
      </rPr>
      <t xml:space="preserve"> cashflow</t>
    </r>
  </si>
  <si>
    <t>Revenue Growth</t>
  </si>
  <si>
    <t>Gross Margin</t>
  </si>
  <si>
    <t>Operating Expenses as % of Revenue</t>
  </si>
  <si>
    <t>Tax Rate</t>
  </si>
  <si>
    <t>1. TRANSACTION STRUCTURE</t>
  </si>
  <si>
    <t>Amount</t>
  </si>
  <si>
    <t>%</t>
  </si>
  <si>
    <t>1. Cash on BS</t>
  </si>
  <si>
    <t>2. Senior Revolver</t>
  </si>
  <si>
    <t>3. Senior Term Debt</t>
  </si>
  <si>
    <t>4. Other Senior Debt</t>
  </si>
  <si>
    <t>5. Subordinated Debt</t>
  </si>
  <si>
    <t>6. Common Stock</t>
  </si>
  <si>
    <t>USES</t>
  </si>
  <si>
    <t>SOURCES</t>
  </si>
  <si>
    <t>1. Purchase of Stock</t>
  </si>
  <si>
    <t>3. Operating Cash</t>
  </si>
  <si>
    <t>4. Fees</t>
  </si>
  <si>
    <t>2. OPERATING ASSUMPTIONS</t>
  </si>
  <si>
    <t>3. INCOME STATEMENT</t>
  </si>
  <si>
    <t>4. BALANCE SHEET</t>
  </si>
  <si>
    <t>2. Refinancing of Existing Debt</t>
  </si>
  <si>
    <t xml:space="preserve">Depreciation &amp; Amort </t>
  </si>
  <si>
    <t>Sale (Purchase) of Intangible Assets</t>
  </si>
  <si>
    <t>Pro-Forma</t>
  </si>
  <si>
    <t>A/R Collection (in days)</t>
  </si>
  <si>
    <t>A/R Turnover (times)</t>
  </si>
  <si>
    <t>Inventory (in days)</t>
  </si>
  <si>
    <t>Inventory Turnover (times)</t>
  </si>
  <si>
    <t>A/P Settlement (in days)</t>
  </si>
  <si>
    <t>A/P Turnover (times)</t>
  </si>
  <si>
    <t>Other Current Assets Growth %</t>
  </si>
  <si>
    <t>LT A/R Collection (in days)</t>
  </si>
  <si>
    <t>LT A/R Turnover (times)</t>
  </si>
  <si>
    <t>Deferred Tax Asset Growth %</t>
  </si>
  <si>
    <t>Other LT Assets Growth %</t>
  </si>
  <si>
    <t>Check Sum</t>
  </si>
  <si>
    <t>Total Liabilities and Equity</t>
  </si>
  <si>
    <t>Subordinated Debt</t>
  </si>
  <si>
    <t>Reconciliation</t>
  </si>
  <si>
    <t>5. CASHFLOW STATEMENT</t>
  </si>
  <si>
    <t>Check Sum: Cash &amp; Equivalents (Balance Sheet)</t>
  </si>
  <si>
    <t>Beginning Cash &amp; Equivalents</t>
  </si>
  <si>
    <t>Cash &amp; Equivalents</t>
  </si>
  <si>
    <t>Check Sum: Cash and Equivalents (Balance Sheet)</t>
  </si>
  <si>
    <t>Check Sum: Net Change in Cash (Cash Flow)</t>
  </si>
  <si>
    <r>
      <t xml:space="preserve">2. Repay with </t>
    </r>
    <r>
      <rPr>
        <b/>
        <sz val="12"/>
        <color theme="1"/>
        <rFont val="Arial"/>
        <family val="2"/>
      </rPr>
      <t>EXISTING</t>
    </r>
    <r>
      <rPr>
        <sz val="12"/>
        <color theme="1"/>
        <rFont val="Arial"/>
        <family val="2"/>
      </rPr>
      <t xml:space="preserve"> assets. If structures are not strong, the haircut and risks are higher. </t>
    </r>
  </si>
  <si>
    <t>Debt Capacity Sensitivity Analysis</t>
  </si>
  <si>
    <t>EBIDA</t>
  </si>
  <si>
    <t>Years</t>
  </si>
  <si>
    <t>Interest</t>
  </si>
  <si>
    <t xml:space="preserve">A. </t>
  </si>
  <si>
    <t>Debt Capacity</t>
  </si>
  <si>
    <t xml:space="preserve">Gross Debt </t>
  </si>
  <si>
    <t>Debt Capacity - Gross Debt</t>
  </si>
  <si>
    <t>Surplus/(Shortfall)</t>
  </si>
  <si>
    <t xml:space="preserve">B. </t>
  </si>
  <si>
    <t>Current EBIDA</t>
  </si>
  <si>
    <t>Current EBIDA Less B/E EBIDA</t>
  </si>
  <si>
    <t>Detailed Ratios Report</t>
  </si>
  <si>
    <t>Current Portion of Long Term Debt (CPLTD)</t>
  </si>
  <si>
    <t>Long Term Debt</t>
  </si>
  <si>
    <t>ACTIVITY</t>
  </si>
  <si>
    <t>Accounts Receivable Days</t>
  </si>
  <si>
    <t>Inventory Days</t>
  </si>
  <si>
    <t>Accounts Payable Days</t>
  </si>
  <si>
    <t>Cash Conversion Cycle</t>
  </si>
  <si>
    <t>Net Sales/Total Assets</t>
  </si>
  <si>
    <t>Net Sales/Net Worth</t>
  </si>
  <si>
    <t>Net Sales/Net Fixed Assets</t>
  </si>
  <si>
    <t>Adjusted Working Capital/Sales</t>
  </si>
  <si>
    <t>LIQUIDITY</t>
  </si>
  <si>
    <t>Quick Ratio</t>
  </si>
  <si>
    <t>Current Ratio</t>
  </si>
  <si>
    <t>EBIT/Interest Expense</t>
  </si>
  <si>
    <t>EBITDA/Interest Expense</t>
  </si>
  <si>
    <t>EBITDA/(Interest Expense + CPLTD)</t>
  </si>
  <si>
    <t>Operating EBITDA/(Interest Expense + CPLTD)</t>
  </si>
  <si>
    <t>SUMMARY (include effects of FRS16 ie. lease liabilities to be treated as debt)</t>
  </si>
  <si>
    <t>COVERAGE (include effects of FRS16 ie. lease liabilities to be treated as debt)</t>
  </si>
  <si>
    <t>Operaing EBITDA - Tax)/(Interest Expense + CPLTD)</t>
  </si>
  <si>
    <t>LEVERAGE &amp; GEARING (include effects of FRS16 ie. lease liabilities to be treated as debt)</t>
  </si>
  <si>
    <t>Total Debt/Total Net Worth</t>
  </si>
  <si>
    <t>Long Term Debt/EBITDA</t>
  </si>
  <si>
    <t>Total Debt/EBITDA</t>
  </si>
  <si>
    <t>Net Debt/EBITDA</t>
  </si>
  <si>
    <t>Total Debt/Operating EBITDA</t>
  </si>
  <si>
    <t>Long Term Debt/Net Fixed Assets</t>
  </si>
  <si>
    <t>PROFITABILITY</t>
  </si>
  <si>
    <t>Profit Before Taxes/Total Assets (%)</t>
  </si>
  <si>
    <t>Return on Equity (%)</t>
  </si>
  <si>
    <t>Gross Profit Margin (%)</t>
  </si>
  <si>
    <t>EBITDA Margin (%)</t>
  </si>
  <si>
    <t>Operating EBITDA Margin (%)</t>
  </si>
  <si>
    <t>Operating Profit Margin (%)</t>
  </si>
  <si>
    <t>Net Profit Margin (%)</t>
  </si>
  <si>
    <t>Dupont ROE (%)</t>
  </si>
  <si>
    <t>Return on Assets (%)</t>
  </si>
  <si>
    <t>Effective Tax Rate (%)</t>
  </si>
  <si>
    <t>GROWTH</t>
  </si>
  <si>
    <t>Total Assets Growth (%)</t>
  </si>
  <si>
    <t>Total Liabilities Growth (%)</t>
  </si>
  <si>
    <t>Total Net Worth Growth (%)</t>
  </si>
  <si>
    <t>Net Sales Growth (%)</t>
  </si>
  <si>
    <t>Operating Profit Growth (%)</t>
  </si>
  <si>
    <t>Net Profit Growth (%)</t>
  </si>
  <si>
    <t>Debt Outstanding at Year 5</t>
  </si>
  <si>
    <t>Estimated Cost of Equity COE (Benchmark: DBS Bank COE = 10%)</t>
  </si>
  <si>
    <t>Short Term Investments Growth %</t>
  </si>
  <si>
    <t>Debt Capacity/Gross Debt %</t>
  </si>
  <si>
    <r>
      <t xml:space="preserve">Overall Surplus </t>
    </r>
    <r>
      <rPr>
        <sz val="12"/>
        <color rgb="FFFF0000"/>
        <rFont val="Arial"/>
        <family val="2"/>
      </rPr>
      <t>(shortfall)</t>
    </r>
  </si>
  <si>
    <r>
      <t xml:space="preserve">2. Surplus </t>
    </r>
    <r>
      <rPr>
        <sz val="12"/>
        <color rgb="FFFF0000"/>
        <rFont val="Arial"/>
        <family val="2"/>
      </rPr>
      <t>(shortfall)</t>
    </r>
  </si>
  <si>
    <t>Financial Leverage (X)</t>
  </si>
  <si>
    <t>Sales/Total Assets (X)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</si>
</sst>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8" formatCode="&quot;$&quot;#,##0.00_);[Red]\(&quot;$&quot;#,##0.00\)"/>
    <numFmt numFmtId="164" formatCode="_(* #,##0.0_);_(* \(#,##0.0\)_)\ ;_(* 0_)"/>
    <numFmt numFmtId="165" formatCode="_(#,##0.0%_);_(\(#,##0.0%\)_);_(#,##0.0%_)"/>
    <numFmt numFmtId="166" formatCode="_(* #,##0.0#_);_(* \(#,##0.0#\)_)\ ;_(* 0_)"/>
    <numFmt numFmtId="167" formatCode="#,##0.0\x"/>
    <numFmt numFmtId="168" formatCode="#,##0.00\x"/>
    <numFmt numFmtId="169" formatCode="_(* #,##0.0##_);_(* \(#,##0.0##\)_)\ ;_(* 0_)"/>
    <numFmt numFmtId="170" formatCode="mmm\-dd\-yyyy"/>
    <numFmt numFmtId="171" formatCode="_(* #,##0_);_(* \(#,##0\)_)\ ;_(* 0_)"/>
    <numFmt numFmtId="172" formatCode="d\-mmm\-yyyy"/>
    <numFmt numFmtId="173" formatCode="#,##0.00%"/>
    <numFmt numFmtId="174" formatCode="0.0\X"/>
    <numFmt numFmtId="175" formatCode="0\X"/>
    <numFmt numFmtId="176" formatCode="#,##0;[Red]\(#,##0\)"/>
    <numFmt numFmtId="177" formatCode="#,##0.0%;[Red]\(#,##0.0%\)"/>
    <numFmt numFmtId="178" formatCode="#,##0%;[Red]\(#,##0%\)"/>
    <numFmt numFmtId="179" formatCode="#,##0.00%;[Red]\(#,##0.00%\)"/>
    <numFmt numFmtId="180" formatCode="_(* #,##0.0_);_(* \(#,##0.0\);_(* &quot;-&quot;?_);_(@_)"/>
    <numFmt numFmtId="181" formatCode="#,##0.00;[Red]\(#,##0.00\)"/>
  </numFmts>
  <fonts count="30" x14ac:knownFonts="1">
    <font>
      <sz val="12"/>
      <color theme="1"/>
      <name val="Calibri"/>
      <family val="2"/>
      <scheme val="minor"/>
    </font>
    <font>
      <sz val="1"/>
      <color indexed="9"/>
      <name val="Symbol"/>
      <charset val="2"/>
    </font>
    <font>
      <b/>
      <sz val="12"/>
      <color indexed="8"/>
      <name val="Verdana"/>
      <family val="2"/>
    </font>
    <font>
      <sz val="12"/>
      <name val="Arial"/>
      <family val="2"/>
    </font>
    <font>
      <i/>
      <sz val="12"/>
      <name val="Arial"/>
      <family val="2"/>
    </font>
    <font>
      <b/>
      <sz val="12"/>
      <name val="Arial"/>
      <family val="2"/>
    </font>
    <font>
      <sz val="12"/>
      <color indexed="8"/>
      <name val="Arial"/>
      <family val="2"/>
    </font>
    <font>
      <b/>
      <sz val="12"/>
      <color indexed="9"/>
      <name val="Verdana"/>
      <family val="2"/>
    </font>
    <font>
      <b/>
      <sz val="12"/>
      <color theme="1"/>
      <name val="Arial"/>
      <family val="2"/>
    </font>
    <font>
      <sz val="12"/>
      <color indexed="9"/>
      <name val="Symbol"/>
      <charset val="2"/>
    </font>
    <font>
      <b/>
      <sz val="12"/>
      <color indexed="8"/>
      <name val="Arial"/>
      <family val="2"/>
    </font>
    <font>
      <b/>
      <i/>
      <sz val="12"/>
      <color indexed="8"/>
      <name val="Arial"/>
      <family val="2"/>
    </font>
    <font>
      <b/>
      <u val="double"/>
      <sz val="12"/>
      <color indexed="8"/>
      <name val="Arial"/>
      <family val="2"/>
    </font>
    <font>
      <sz val="12"/>
      <color rgb="FFFF0000"/>
      <name val="Arial"/>
      <family val="2"/>
    </font>
    <font>
      <i/>
      <sz val="12"/>
      <color indexed="8"/>
      <name val="Arial"/>
      <family val="2"/>
    </font>
    <font>
      <b/>
      <sz val="12"/>
      <color indexed="9"/>
      <name val="Arial"/>
      <family val="2"/>
    </font>
    <font>
      <sz val="12"/>
      <color indexed="9"/>
      <name val="Arial"/>
      <family val="2"/>
    </font>
    <font>
      <b/>
      <u/>
      <sz val="12"/>
      <color indexed="8"/>
      <name val="Arial"/>
      <family val="2"/>
    </font>
    <font>
      <b/>
      <sz val="12"/>
      <color theme="4"/>
      <name val="Arial"/>
      <family val="2"/>
    </font>
    <font>
      <b/>
      <u/>
      <sz val="12"/>
      <name val="Arial"/>
      <family val="2"/>
    </font>
    <font>
      <b/>
      <sz val="12"/>
      <color rgb="FFFF0000"/>
      <name val="Arial"/>
      <family val="2"/>
    </font>
    <font>
      <sz val="12"/>
      <color theme="4"/>
      <name val="Arial"/>
      <family val="2"/>
    </font>
    <font>
      <sz val="12"/>
      <color theme="1"/>
      <name val="Arial"/>
      <family val="2"/>
    </font>
    <font>
      <b/>
      <u/>
      <sz val="12"/>
      <color theme="1"/>
      <name val="Arial"/>
      <family val="2"/>
    </font>
    <font>
      <u/>
      <sz val="12"/>
      <color theme="1"/>
      <name val="Arial"/>
      <family val="2"/>
    </font>
    <font>
      <b/>
      <u val="singleAccounting"/>
      <sz val="12"/>
      <color indexed="9"/>
      <name val="Verdana"/>
      <family val="2"/>
    </font>
    <font>
      <b/>
      <u val="singleAccounting"/>
      <sz val="12"/>
      <color indexed="8"/>
      <name val="Arial"/>
      <family val="2"/>
    </font>
    <font>
      <sz val="8"/>
      <name val="Calibri"/>
      <family val="2"/>
      <scheme val="minor"/>
    </font>
    <font>
      <b/>
      <sz val="12"/>
      <color theme="1"/>
      <name val="Calibri"/>
      <family val="2"/>
      <scheme val="minor"/>
    </font>
    <font>
      <u/>
      <sz val="12"/>
      <name val="Arial"/>
      <family val="2"/>
    </font>
  </fonts>
  <fills count="12">
    <fill>
      <patternFill patternType="none"/>
    </fill>
    <fill>
      <patternFill patternType="gray125"/>
    </fill>
    <fill>
      <patternFill patternType="solid">
        <fgColor indexed="56"/>
        <bgColor indexed="64"/>
      </patternFill>
    </fill>
    <fill>
      <patternFill patternType="solid">
        <fgColor indexed="60"/>
        <bgColor indexed="64"/>
      </patternFill>
    </fill>
    <fill>
      <patternFill patternType="solid">
        <fgColor rgb="FFF0F0DC"/>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9"/>
        <bgColor indexed="64"/>
      </patternFill>
    </fill>
    <fill>
      <patternFill patternType="solid">
        <fgColor rgb="FFFFC000"/>
        <bgColor indexed="64"/>
      </patternFill>
    </fill>
    <fill>
      <patternFill patternType="solid">
        <fgColor theme="7" tint="0.59999389629810485"/>
        <bgColor indexed="64"/>
      </patternFill>
    </fill>
    <fill>
      <patternFill patternType="solid">
        <fgColor theme="4" tint="0.79998168889431442"/>
        <bgColor indexed="64"/>
      </patternFill>
    </fill>
  </fills>
  <borders count="23">
    <border>
      <left/>
      <right/>
      <top/>
      <bottom/>
      <diagonal/>
    </border>
    <border>
      <left/>
      <right/>
      <top style="thin">
        <color indexed="8"/>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thin">
        <color indexed="64"/>
      </top>
      <bottom style="double">
        <color indexed="64"/>
      </bottom>
      <diagonal/>
    </border>
  </borders>
  <cellStyleXfs count="2">
    <xf numFmtId="0" fontId="0" fillId="0" borderId="0"/>
    <xf numFmtId="0" fontId="1" fillId="0" borderId="0" applyAlignment="0"/>
  </cellStyleXfs>
  <cellXfs count="279">
    <xf numFmtId="0" fontId="0" fillId="0" borderId="0" xfId="0"/>
    <xf numFmtId="0" fontId="2" fillId="0" borderId="0" xfId="0" applyFont="1"/>
    <xf numFmtId="0" fontId="3" fillId="0" borderId="0" xfId="0" applyFont="1"/>
    <xf numFmtId="0" fontId="4" fillId="0" borderId="0" xfId="0" applyFont="1" applyAlignment="1">
      <alignment wrapText="1"/>
    </xf>
    <xf numFmtId="0" fontId="5" fillId="0" borderId="0" xfId="0" applyFont="1"/>
    <xf numFmtId="0" fontId="6" fillId="0" borderId="0" xfId="0" applyFont="1" applyAlignment="1">
      <alignment horizontal="left" vertical="top"/>
    </xf>
    <xf numFmtId="49" fontId="3" fillId="0" borderId="0" xfId="0" applyNumberFormat="1" applyFont="1"/>
    <xf numFmtId="0" fontId="6" fillId="0" borderId="0" xfId="0" applyFont="1" applyAlignment="1">
      <alignment horizontal="left" vertical="center"/>
    </xf>
    <xf numFmtId="0" fontId="7" fillId="2" borderId="0" xfId="0" applyFont="1" applyFill="1"/>
    <xf numFmtId="0" fontId="9" fillId="0" borderId="0" xfId="1" applyFont="1" applyAlignment="1"/>
    <xf numFmtId="0" fontId="10" fillId="4" borderId="0" xfId="0" applyFont="1" applyFill="1" applyAlignment="1">
      <alignment wrapText="1"/>
    </xf>
    <xf numFmtId="0" fontId="10" fillId="4" borderId="0" xfId="0" applyFont="1" applyFill="1" applyAlignment="1">
      <alignment horizontal="right" wrapText="1"/>
    </xf>
    <xf numFmtId="0" fontId="11" fillId="4" borderId="0" xfId="0" applyFont="1" applyFill="1" applyAlignment="1">
      <alignment wrapText="1"/>
    </xf>
    <xf numFmtId="0" fontId="11" fillId="4" borderId="0" xfId="0" applyFont="1" applyFill="1" applyAlignment="1">
      <alignment horizontal="right" wrapText="1"/>
    </xf>
    <xf numFmtId="0" fontId="10" fillId="0" borderId="0" xfId="0" applyFont="1" applyAlignment="1">
      <alignment horizontal="left" vertical="top"/>
    </xf>
    <xf numFmtId="164" fontId="6" fillId="0" borderId="0" xfId="0" applyNumberFormat="1" applyFont="1" applyAlignment="1">
      <alignment horizontal="right" vertical="top" wrapText="1"/>
    </xf>
    <xf numFmtId="164" fontId="10" fillId="0" borderId="1" xfId="0" applyNumberFormat="1" applyFont="1" applyBorder="1" applyAlignment="1">
      <alignment horizontal="right" vertical="top" wrapText="1"/>
    </xf>
    <xf numFmtId="164" fontId="10" fillId="0" borderId="0" xfId="0" applyNumberFormat="1" applyFont="1" applyAlignment="1">
      <alignment horizontal="right" vertical="top" wrapText="1"/>
    </xf>
    <xf numFmtId="164" fontId="12" fillId="0" borderId="1" xfId="0" applyNumberFormat="1" applyFont="1" applyBorder="1" applyAlignment="1">
      <alignment horizontal="right" vertical="top" wrapText="1"/>
    </xf>
    <xf numFmtId="166" fontId="6" fillId="0" borderId="0" xfId="0" applyNumberFormat="1" applyFont="1" applyAlignment="1">
      <alignment horizontal="right" vertical="top" wrapText="1"/>
    </xf>
    <xf numFmtId="165" fontId="6" fillId="0" borderId="0" xfId="0" applyNumberFormat="1" applyFont="1" applyAlignment="1">
      <alignment horizontal="right" vertical="top" wrapText="1"/>
    </xf>
    <xf numFmtId="169" fontId="6" fillId="0" borderId="0" xfId="0" applyNumberFormat="1" applyFont="1" applyAlignment="1">
      <alignment horizontal="right" vertical="top" wrapText="1"/>
    </xf>
    <xf numFmtId="170" fontId="6" fillId="0" borderId="0" xfId="0" applyNumberFormat="1" applyFont="1" applyAlignment="1">
      <alignment horizontal="right" vertical="top" wrapText="1"/>
    </xf>
    <xf numFmtId="49" fontId="6" fillId="0" borderId="0" xfId="0" applyNumberFormat="1" applyFont="1" applyAlignment="1">
      <alignment horizontal="right" vertical="top" wrapText="1"/>
    </xf>
    <xf numFmtId="0" fontId="3" fillId="0" borderId="0" xfId="0" applyFont="1" applyAlignment="1">
      <alignment vertical="top"/>
    </xf>
    <xf numFmtId="0" fontId="3" fillId="0" borderId="0" xfId="0" applyFont="1" applyAlignment="1">
      <alignment vertical="top" wrapText="1"/>
    </xf>
    <xf numFmtId="0" fontId="3" fillId="0" borderId="0" xfId="0" applyFont="1" applyAlignment="1">
      <alignment horizontal="left"/>
    </xf>
    <xf numFmtId="0" fontId="6" fillId="0" borderId="0" xfId="0" applyFont="1" applyAlignment="1">
      <alignment horizontal="center" vertical="center"/>
    </xf>
    <xf numFmtId="0" fontId="10" fillId="0" borderId="0" xfId="0" applyFont="1" applyAlignment="1">
      <alignment horizontal="center" wrapText="1"/>
    </xf>
    <xf numFmtId="0" fontId="11" fillId="0" borderId="0" xfId="0" applyFont="1" applyAlignment="1">
      <alignment horizontal="right" wrapText="1"/>
    </xf>
    <xf numFmtId="0" fontId="13" fillId="0" borderId="0" xfId="0" applyFont="1"/>
    <xf numFmtId="0" fontId="3" fillId="5" borderId="0" xfId="0" applyFont="1" applyFill="1"/>
    <xf numFmtId="0" fontId="14" fillId="0" borderId="0" xfId="0" applyFont="1" applyAlignment="1">
      <alignment horizontal="left" vertical="top"/>
    </xf>
    <xf numFmtId="165" fontId="14" fillId="0" borderId="0" xfId="0" applyNumberFormat="1" applyFont="1" applyAlignment="1">
      <alignment horizontal="right" vertical="top" wrapText="1"/>
    </xf>
    <xf numFmtId="166" fontId="10" fillId="0" borderId="0" xfId="0" applyNumberFormat="1" applyFont="1" applyAlignment="1">
      <alignment horizontal="right" vertical="top" wrapText="1"/>
    </xf>
    <xf numFmtId="49" fontId="10" fillId="0" borderId="0" xfId="0" applyNumberFormat="1" applyFont="1" applyAlignment="1">
      <alignment horizontal="right" vertical="top" wrapText="1"/>
    </xf>
    <xf numFmtId="0" fontId="11" fillId="3" borderId="0" xfId="0" applyFont="1" applyFill="1" applyAlignment="1">
      <alignment wrapText="1"/>
    </xf>
    <xf numFmtId="0" fontId="11" fillId="3" borderId="0" xfId="0" applyFont="1" applyFill="1" applyAlignment="1">
      <alignment horizontal="right" wrapText="1"/>
    </xf>
    <xf numFmtId="0" fontId="3" fillId="0" borderId="0" xfId="0" applyFont="1" applyAlignment="1">
      <alignment horizontal="center" vertical="top" wrapText="1"/>
    </xf>
    <xf numFmtId="0" fontId="10" fillId="3" borderId="0" xfId="0" applyFont="1" applyFill="1" applyAlignment="1">
      <alignment wrapText="1"/>
    </xf>
    <xf numFmtId="0" fontId="10" fillId="3" borderId="0" xfId="0" applyFont="1" applyFill="1" applyAlignment="1">
      <alignment horizontal="right" wrapText="1"/>
    </xf>
    <xf numFmtId="167" fontId="6" fillId="0" borderId="0" xfId="0" applyNumberFormat="1" applyFont="1" applyAlignment="1">
      <alignment horizontal="right" vertical="top" wrapText="1"/>
    </xf>
    <xf numFmtId="168" fontId="6" fillId="0" borderId="0" xfId="0" applyNumberFormat="1" applyFont="1" applyAlignment="1">
      <alignment horizontal="right" vertical="top" wrapText="1"/>
    </xf>
    <xf numFmtId="0" fontId="10" fillId="0" borderId="0" xfId="0" applyFont="1"/>
    <xf numFmtId="0" fontId="15" fillId="2" borderId="0" xfId="0" applyFont="1" applyFill="1"/>
    <xf numFmtId="0" fontId="16" fillId="0" borderId="0" xfId="1" applyFont="1" applyAlignment="1"/>
    <xf numFmtId="0" fontId="7" fillId="0" borderId="0" xfId="0" applyFont="1"/>
    <xf numFmtId="170" fontId="10" fillId="4" borderId="0" xfId="0" applyNumberFormat="1" applyFont="1" applyFill="1" applyAlignment="1">
      <alignment horizontal="right" wrapText="1"/>
    </xf>
    <xf numFmtId="164" fontId="17" fillId="0" borderId="0" xfId="0" applyNumberFormat="1" applyFont="1" applyAlignment="1">
      <alignment horizontal="right" vertical="top" wrapText="1"/>
    </xf>
    <xf numFmtId="164" fontId="12" fillId="0" borderId="0" xfId="0" applyNumberFormat="1" applyFont="1" applyAlignment="1">
      <alignment horizontal="right" vertical="top" wrapText="1"/>
    </xf>
    <xf numFmtId="171" fontId="6" fillId="0" borderId="0" xfId="0" applyNumberFormat="1" applyFont="1" applyAlignment="1">
      <alignment horizontal="right" vertical="top" wrapText="1"/>
    </xf>
    <xf numFmtId="0" fontId="3" fillId="0" borderId="0" xfId="0" applyFont="1" applyAlignment="1">
      <alignment horizontal="left" vertical="top"/>
    </xf>
    <xf numFmtId="0" fontId="18" fillId="0" borderId="0" xfId="0" applyFont="1"/>
    <xf numFmtId="172" fontId="3" fillId="0" borderId="0" xfId="0" applyNumberFormat="1" applyFont="1" applyAlignment="1">
      <alignment horizontal="left"/>
    </xf>
    <xf numFmtId="0" fontId="5" fillId="0" borderId="0" xfId="0" applyFont="1" applyAlignment="1">
      <alignment horizontal="left" vertical="center"/>
    </xf>
    <xf numFmtId="172" fontId="5" fillId="0" borderId="0" xfId="0" applyNumberFormat="1" applyFont="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center"/>
    </xf>
    <xf numFmtId="0" fontId="19" fillId="0" borderId="0" xfId="0" applyFont="1"/>
    <xf numFmtId="176" fontId="3" fillId="0" borderId="0" xfId="0" applyNumberFormat="1" applyFont="1"/>
    <xf numFmtId="176" fontId="18" fillId="0" borderId="0" xfId="0" applyNumberFormat="1" applyFont="1"/>
    <xf numFmtId="173" fontId="21" fillId="6" borderId="0" xfId="0" applyNumberFormat="1" applyFont="1" applyFill="1"/>
    <xf numFmtId="0" fontId="21" fillId="6" borderId="0" xfId="0" applyFont="1" applyFill="1"/>
    <xf numFmtId="0" fontId="21" fillId="0" borderId="0" xfId="0" applyFont="1"/>
    <xf numFmtId="173" fontId="3" fillId="0" borderId="0" xfId="0" applyNumberFormat="1" applyFont="1"/>
    <xf numFmtId="0" fontId="3" fillId="0" borderId="0" xfId="0" applyFont="1" applyAlignment="1">
      <alignment horizontal="left" indent="2"/>
    </xf>
    <xf numFmtId="173" fontId="5" fillId="0" borderId="2" xfId="0" applyNumberFormat="1" applyFont="1" applyBorder="1"/>
    <xf numFmtId="173" fontId="5" fillId="0" borderId="3" xfId="0" applyNumberFormat="1" applyFont="1" applyBorder="1"/>
    <xf numFmtId="174" fontId="5" fillId="0" borderId="2" xfId="0" applyNumberFormat="1" applyFont="1" applyBorder="1"/>
    <xf numFmtId="174" fontId="5" fillId="0" borderId="3" xfId="0" applyNumberFormat="1" applyFont="1" applyBorder="1"/>
    <xf numFmtId="0" fontId="8" fillId="0" borderId="0" xfId="0" applyFont="1"/>
    <xf numFmtId="0" fontId="22" fillId="0" borderId="0" xfId="0" applyFont="1"/>
    <xf numFmtId="0" fontId="8" fillId="0" borderId="0" xfId="0" applyFont="1" applyAlignment="1">
      <alignment horizontal="center" vertical="center"/>
    </xf>
    <xf numFmtId="0" fontId="22" fillId="0" borderId="0" xfId="0" applyFont="1" applyAlignment="1">
      <alignment horizontal="left"/>
    </xf>
    <xf numFmtId="0" fontId="22" fillId="0" borderId="0" xfId="0" applyFont="1" applyAlignment="1">
      <alignment horizontal="center"/>
    </xf>
    <xf numFmtId="176" fontId="22" fillId="0" borderId="0" xfId="0" applyNumberFormat="1" applyFont="1"/>
    <xf numFmtId="175" fontId="22" fillId="5" borderId="4" xfId="0" applyNumberFormat="1" applyFont="1" applyFill="1" applyBorder="1"/>
    <xf numFmtId="176" fontId="22" fillId="5" borderId="5" xfId="0" applyNumberFormat="1" applyFont="1" applyFill="1" applyBorder="1"/>
    <xf numFmtId="175" fontId="22" fillId="5" borderId="7" xfId="0" applyNumberFormat="1" applyFont="1" applyFill="1" applyBorder="1"/>
    <xf numFmtId="176" fontId="22" fillId="5" borderId="0" xfId="0" applyNumberFormat="1" applyFont="1" applyFill="1"/>
    <xf numFmtId="175" fontId="22" fillId="0" borderId="7" xfId="0" applyNumberFormat="1" applyFont="1" applyBorder="1"/>
    <xf numFmtId="176" fontId="22" fillId="0" borderId="8" xfId="0" applyNumberFormat="1" applyFont="1" applyBorder="1"/>
    <xf numFmtId="175" fontId="22" fillId="0" borderId="9" xfId="0" applyNumberFormat="1" applyFont="1" applyBorder="1"/>
    <xf numFmtId="176" fontId="22" fillId="0" borderId="10" xfId="0" applyNumberFormat="1" applyFont="1" applyBorder="1"/>
    <xf numFmtId="0" fontId="22" fillId="0" borderId="12" xfId="0" applyFont="1" applyBorder="1"/>
    <xf numFmtId="176" fontId="22" fillId="0" borderId="12" xfId="0" applyNumberFormat="1" applyFont="1" applyBorder="1"/>
    <xf numFmtId="174" fontId="22" fillId="0" borderId="0" xfId="0" applyNumberFormat="1" applyFont="1"/>
    <xf numFmtId="0" fontId="8" fillId="7" borderId="0" xfId="0" applyFont="1" applyFill="1"/>
    <xf numFmtId="0" fontId="22" fillId="7" borderId="0" xfId="0" applyFont="1" applyFill="1"/>
    <xf numFmtId="176" fontId="22" fillId="7" borderId="0" xfId="0" applyNumberFormat="1" applyFont="1" applyFill="1"/>
    <xf numFmtId="175" fontId="22" fillId="7" borderId="0" xfId="0" applyNumberFormat="1" applyFont="1" applyFill="1"/>
    <xf numFmtId="0" fontId="8" fillId="0" borderId="0" xfId="0" applyFont="1" applyAlignment="1">
      <alignment horizontal="center"/>
    </xf>
    <xf numFmtId="0" fontId="22" fillId="0" borderId="4" xfId="0" applyFont="1" applyBorder="1"/>
    <xf numFmtId="176" fontId="22" fillId="0" borderId="5" xfId="0" applyNumberFormat="1" applyFont="1" applyBorder="1"/>
    <xf numFmtId="176" fontId="22" fillId="0" borderId="6" xfId="0" applyNumberFormat="1" applyFont="1" applyBorder="1"/>
    <xf numFmtId="0" fontId="22" fillId="0" borderId="7" xfId="0" applyFont="1" applyBorder="1"/>
    <xf numFmtId="0" fontId="8" fillId="0" borderId="9" xfId="0" applyFont="1" applyBorder="1"/>
    <xf numFmtId="177" fontId="8" fillId="0" borderId="10" xfId="0" applyNumberFormat="1" applyFont="1" applyBorder="1"/>
    <xf numFmtId="177" fontId="8" fillId="0" borderId="11" xfId="0" applyNumberFormat="1" applyFont="1" applyBorder="1"/>
    <xf numFmtId="177" fontId="22" fillId="0" borderId="0" xfId="0" applyNumberFormat="1" applyFont="1"/>
    <xf numFmtId="177" fontId="8" fillId="0" borderId="0" xfId="0" applyNumberFormat="1" applyFont="1"/>
    <xf numFmtId="176" fontId="8" fillId="0" borderId="0" xfId="0" applyNumberFormat="1" applyFont="1"/>
    <xf numFmtId="0" fontId="23" fillId="7" borderId="0" xfId="0" applyFont="1" applyFill="1"/>
    <xf numFmtId="0" fontId="22" fillId="7" borderId="12" xfId="0" applyFont="1" applyFill="1" applyBorder="1"/>
    <xf numFmtId="176" fontId="22" fillId="7" borderId="12" xfId="0" applyNumberFormat="1" applyFont="1" applyFill="1" applyBorder="1"/>
    <xf numFmtId="0" fontId="8" fillId="7" borderId="5" xfId="0" applyFont="1" applyFill="1" applyBorder="1"/>
    <xf numFmtId="176" fontId="22" fillId="7" borderId="5" xfId="0" applyNumberFormat="1" applyFont="1" applyFill="1" applyBorder="1"/>
    <xf numFmtId="8" fontId="22" fillId="7" borderId="0" xfId="0" applyNumberFormat="1" applyFont="1" applyFill="1"/>
    <xf numFmtId="0" fontId="8" fillId="7" borderId="10" xfId="0" applyFont="1" applyFill="1" applyBorder="1"/>
    <xf numFmtId="177" fontId="8" fillId="7" borderId="10" xfId="0" applyNumberFormat="1" applyFont="1" applyFill="1" applyBorder="1"/>
    <xf numFmtId="177" fontId="22" fillId="7" borderId="0" xfId="0" applyNumberFormat="1" applyFont="1" applyFill="1"/>
    <xf numFmtId="0" fontId="8" fillId="0" borderId="0" xfId="0" applyFont="1" applyAlignment="1">
      <alignment horizontal="left" vertical="center"/>
    </xf>
    <xf numFmtId="0" fontId="22" fillId="0" borderId="0" xfId="0" applyFont="1" applyAlignment="1">
      <alignment horizontal="center" vertical="center"/>
    </xf>
    <xf numFmtId="0" fontId="8" fillId="0" borderId="13" xfId="0" applyFont="1" applyBorder="1"/>
    <xf numFmtId="0" fontId="22" fillId="0" borderId="13" xfId="0" applyFont="1" applyBorder="1"/>
    <xf numFmtId="0" fontId="8" fillId="0" borderId="16" xfId="0" applyFont="1" applyBorder="1"/>
    <xf numFmtId="0" fontId="22" fillId="0" borderId="16" xfId="0" applyFont="1" applyBorder="1" applyAlignment="1">
      <alignment horizontal="left"/>
    </xf>
    <xf numFmtId="0" fontId="22" fillId="0" borderId="17" xfId="0" applyFont="1" applyBorder="1" applyAlignment="1">
      <alignment horizontal="center"/>
    </xf>
    <xf numFmtId="0" fontId="22" fillId="0" borderId="16" xfId="0" applyFont="1" applyBorder="1"/>
    <xf numFmtId="0" fontId="22" fillId="0" borderId="17" xfId="0" applyFont="1" applyBorder="1" applyAlignment="1">
      <alignment horizontal="center" vertical="center"/>
    </xf>
    <xf numFmtId="0" fontId="22" fillId="0" borderId="0" xfId="0" applyFont="1" applyAlignment="1">
      <alignment horizontal="right"/>
    </xf>
    <xf numFmtId="0" fontId="22" fillId="0" borderId="17" xfId="0" applyFont="1" applyBorder="1" applyAlignment="1">
      <alignment horizontal="right"/>
    </xf>
    <xf numFmtId="176" fontId="22" fillId="0" borderId="0" xfId="0" applyNumberFormat="1" applyFont="1" applyAlignment="1">
      <alignment horizontal="right"/>
    </xf>
    <xf numFmtId="176" fontId="22" fillId="0" borderId="17" xfId="0" applyNumberFormat="1" applyFont="1" applyBorder="1" applyAlignment="1">
      <alignment horizontal="right"/>
    </xf>
    <xf numFmtId="0" fontId="22" fillId="5" borderId="16" xfId="0" applyFont="1" applyFill="1" applyBorder="1"/>
    <xf numFmtId="176" fontId="22" fillId="5" borderId="17" xfId="0" applyNumberFormat="1" applyFont="1" applyFill="1" applyBorder="1" applyAlignment="1">
      <alignment horizontal="right"/>
    </xf>
    <xf numFmtId="177" fontId="22" fillId="0" borderId="17" xfId="0" applyNumberFormat="1" applyFont="1" applyBorder="1" applyAlignment="1">
      <alignment horizontal="right"/>
    </xf>
    <xf numFmtId="0" fontId="22" fillId="0" borderId="18" xfId="0" applyFont="1" applyBorder="1"/>
    <xf numFmtId="0" fontId="22" fillId="0" borderId="14" xfId="0" applyFont="1" applyBorder="1" applyAlignment="1">
      <alignment horizontal="right"/>
    </xf>
    <xf numFmtId="0" fontId="22" fillId="0" borderId="15" xfId="0" applyFont="1" applyBorder="1" applyAlignment="1">
      <alignment horizontal="right"/>
    </xf>
    <xf numFmtId="176" fontId="22" fillId="0" borderId="19" xfId="0" applyNumberFormat="1" applyFont="1" applyBorder="1" applyAlignment="1">
      <alignment horizontal="right"/>
    </xf>
    <xf numFmtId="176" fontId="22" fillId="0" borderId="20" xfId="0" applyNumberFormat="1" applyFont="1" applyBorder="1" applyAlignment="1">
      <alignment horizontal="right"/>
    </xf>
    <xf numFmtId="8" fontId="22" fillId="0" borderId="0" xfId="0" applyNumberFormat="1" applyFont="1" applyAlignment="1">
      <alignment horizontal="right"/>
    </xf>
    <xf numFmtId="0" fontId="22" fillId="8" borderId="16" xfId="0" applyFont="1" applyFill="1" applyBorder="1"/>
    <xf numFmtId="176" fontId="22" fillId="8" borderId="17" xfId="0" applyNumberFormat="1" applyFont="1" applyFill="1" applyBorder="1" applyAlignment="1">
      <alignment horizontal="right"/>
    </xf>
    <xf numFmtId="0" fontId="8" fillId="0" borderId="0" xfId="0" applyFont="1" applyAlignment="1">
      <alignment horizontal="left"/>
    </xf>
    <xf numFmtId="178" fontId="22" fillId="5" borderId="0" xfId="0" applyNumberFormat="1" applyFont="1" applyFill="1" applyAlignment="1">
      <alignment horizontal="right"/>
    </xf>
    <xf numFmtId="0" fontId="22" fillId="9" borderId="16" xfId="0" applyFont="1" applyFill="1" applyBorder="1"/>
    <xf numFmtId="176" fontId="22" fillId="9" borderId="17" xfId="0" applyNumberFormat="1" applyFont="1" applyFill="1" applyBorder="1" applyAlignment="1">
      <alignment horizontal="right"/>
    </xf>
    <xf numFmtId="178" fontId="22" fillId="9" borderId="0" xfId="0" applyNumberFormat="1" applyFont="1" applyFill="1" applyAlignment="1">
      <alignment horizontal="right"/>
    </xf>
    <xf numFmtId="0" fontId="22" fillId="7" borderId="16" xfId="0" applyFont="1" applyFill="1" applyBorder="1"/>
    <xf numFmtId="0" fontId="22" fillId="7" borderId="17" xfId="0" applyFont="1" applyFill="1" applyBorder="1" applyAlignment="1">
      <alignment horizontal="right"/>
    </xf>
    <xf numFmtId="177" fontId="22" fillId="7" borderId="17" xfId="0" applyNumberFormat="1" applyFont="1" applyFill="1" applyBorder="1" applyAlignment="1">
      <alignment horizontal="right"/>
    </xf>
    <xf numFmtId="0" fontId="22" fillId="0" borderId="17" xfId="0" applyFont="1" applyBorder="1"/>
    <xf numFmtId="0" fontId="8" fillId="9" borderId="16" xfId="0" applyFont="1" applyFill="1" applyBorder="1"/>
    <xf numFmtId="0" fontId="8" fillId="9" borderId="17" xfId="0" applyFont="1" applyFill="1" applyBorder="1" applyAlignment="1">
      <alignment horizontal="right"/>
    </xf>
    <xf numFmtId="0" fontId="22" fillId="0" borderId="14" xfId="0" applyFont="1" applyBorder="1" applyAlignment="1">
      <alignment horizontal="left"/>
    </xf>
    <xf numFmtId="0" fontId="8" fillId="10" borderId="18" xfId="0" applyFont="1" applyFill="1" applyBorder="1"/>
    <xf numFmtId="0" fontId="8" fillId="10" borderId="19" xfId="0" applyFont="1" applyFill="1" applyBorder="1" applyAlignment="1">
      <alignment horizontal="right"/>
    </xf>
    <xf numFmtId="0" fontId="8" fillId="10" borderId="20" xfId="0" applyFont="1" applyFill="1" applyBorder="1" applyAlignment="1">
      <alignment horizontal="right"/>
    </xf>
    <xf numFmtId="0" fontId="8" fillId="0" borderId="0" xfId="0" applyFont="1" applyAlignment="1">
      <alignment horizontal="right"/>
    </xf>
    <xf numFmtId="174" fontId="8" fillId="0" borderId="17" xfId="0" applyNumberFormat="1" applyFont="1" applyBorder="1" applyAlignment="1">
      <alignment horizontal="right"/>
    </xf>
    <xf numFmtId="174" fontId="22" fillId="0" borderId="17" xfId="0" applyNumberFormat="1" applyFont="1" applyBorder="1" applyAlignment="1">
      <alignment horizontal="right"/>
    </xf>
    <xf numFmtId="174" fontId="22" fillId="0" borderId="19" xfId="0" applyNumberFormat="1" applyFont="1" applyBorder="1" applyAlignment="1">
      <alignment horizontal="right"/>
    </xf>
    <xf numFmtId="174" fontId="22" fillId="0" borderId="20" xfId="0" applyNumberFormat="1" applyFont="1" applyBorder="1" applyAlignment="1">
      <alignment horizontal="right"/>
    </xf>
    <xf numFmtId="0" fontId="6" fillId="0" borderId="0" xfId="0" applyFont="1" applyAlignment="1">
      <alignment horizontal="left" vertical="top" indent="1"/>
    </xf>
    <xf numFmtId="0" fontId="24" fillId="7" borderId="0" xfId="0" applyFont="1" applyFill="1"/>
    <xf numFmtId="0" fontId="6" fillId="7" borderId="0" xfId="0" applyFont="1" applyFill="1" applyAlignment="1">
      <alignment horizontal="left" vertical="top"/>
    </xf>
    <xf numFmtId="176" fontId="8" fillId="7" borderId="0" xfId="0" applyNumberFormat="1" applyFont="1" applyFill="1"/>
    <xf numFmtId="0" fontId="25" fillId="2" borderId="0" xfId="0" applyFont="1" applyFill="1" applyAlignment="1">
      <alignment horizontal="left"/>
    </xf>
    <xf numFmtId="0" fontId="26" fillId="4" borderId="0" xfId="0" applyFont="1" applyFill="1" applyAlignment="1">
      <alignment horizontal="right"/>
    </xf>
    <xf numFmtId="0" fontId="10" fillId="0" borderId="0" xfId="0" applyFont="1" applyAlignment="1">
      <alignment horizontal="left"/>
    </xf>
    <xf numFmtId="0" fontId="10" fillId="4" borderId="0" xfId="0" applyFont="1" applyFill="1" applyAlignment="1">
      <alignment horizontal="right"/>
    </xf>
    <xf numFmtId="170" fontId="10" fillId="4" borderId="0" xfId="0" applyNumberFormat="1" applyFont="1" applyFill="1" applyAlignment="1">
      <alignment horizontal="right"/>
    </xf>
    <xf numFmtId="0" fontId="10" fillId="0" borderId="0" xfId="0" applyFont="1" applyAlignment="1">
      <alignment horizontal="right"/>
    </xf>
    <xf numFmtId="168" fontId="6" fillId="0" borderId="0" xfId="0" applyNumberFormat="1" applyFont="1" applyAlignment="1">
      <alignment horizontal="right"/>
    </xf>
    <xf numFmtId="168" fontId="3" fillId="0" borderId="0" xfId="0" applyNumberFormat="1" applyFont="1" applyAlignment="1">
      <alignment horizontal="right"/>
    </xf>
    <xf numFmtId="49" fontId="6" fillId="0" borderId="0" xfId="0" applyNumberFormat="1" applyFont="1" applyAlignment="1">
      <alignment horizontal="right"/>
    </xf>
    <xf numFmtId="49" fontId="3" fillId="0" borderId="0" xfId="0" applyNumberFormat="1" applyFont="1" applyAlignment="1">
      <alignment horizontal="right"/>
    </xf>
    <xf numFmtId="0" fontId="3" fillId="0" borderId="0" xfId="0" applyFont="1" applyAlignment="1">
      <alignment horizontal="right" wrapText="1"/>
    </xf>
    <xf numFmtId="0" fontId="3" fillId="0" borderId="0" xfId="0" applyFont="1" applyAlignment="1">
      <alignment wrapText="1"/>
    </xf>
    <xf numFmtId="0" fontId="10" fillId="0" borderId="0" xfId="0" applyFont="1" applyAlignment="1">
      <alignment horizontal="centerContinuous" vertical="top"/>
    </xf>
    <xf numFmtId="0" fontId="6" fillId="0" borderId="0" xfId="0" applyFont="1" applyAlignment="1">
      <alignment horizontal="center" vertical="center" wrapText="1"/>
    </xf>
    <xf numFmtId="0" fontId="8" fillId="0" borderId="0" xfId="1" applyFont="1" applyAlignment="1"/>
    <xf numFmtId="0" fontId="8" fillId="9" borderId="0" xfId="0" applyFont="1" applyFill="1" applyAlignment="1">
      <alignment horizontal="left"/>
    </xf>
    <xf numFmtId="0" fontId="8" fillId="9" borderId="0" xfId="0" applyFont="1" applyFill="1"/>
    <xf numFmtId="0" fontId="23" fillId="0" borderId="0" xfId="0" applyFont="1" applyAlignment="1">
      <alignment horizontal="center" vertical="center"/>
    </xf>
    <xf numFmtId="3" fontId="22" fillId="0" borderId="0" xfId="0" applyNumberFormat="1" applyFont="1" applyAlignment="1">
      <alignment horizontal="center"/>
    </xf>
    <xf numFmtId="179" fontId="22" fillId="0" borderId="0" xfId="0" applyNumberFormat="1" applyFont="1" applyAlignment="1">
      <alignment horizontal="center"/>
    </xf>
    <xf numFmtId="3" fontId="8" fillId="0" borderId="0" xfId="0" applyNumberFormat="1" applyFont="1" applyAlignment="1">
      <alignment horizontal="center"/>
    </xf>
    <xf numFmtId="179" fontId="8" fillId="0" borderId="0" xfId="0" applyNumberFormat="1" applyFont="1" applyAlignment="1">
      <alignment horizontal="center"/>
    </xf>
    <xf numFmtId="0" fontId="22" fillId="9" borderId="0" xfId="0" applyFont="1" applyFill="1"/>
    <xf numFmtId="0" fontId="8" fillId="0" borderId="0" xfId="0" applyFont="1" applyAlignment="1">
      <alignment horizontal="center" wrapText="1"/>
    </xf>
    <xf numFmtId="179" fontId="22" fillId="0" borderId="0" xfId="0" applyNumberFormat="1" applyFont="1"/>
    <xf numFmtId="172" fontId="8" fillId="0" borderId="0" xfId="0" applyNumberFormat="1" applyFont="1" applyAlignment="1">
      <alignment horizontal="left"/>
    </xf>
    <xf numFmtId="9" fontId="22" fillId="0" borderId="0" xfId="0" applyNumberFormat="1" applyFont="1"/>
    <xf numFmtId="176" fontId="22" fillId="0" borderId="0" xfId="0" applyNumberFormat="1" applyFont="1" applyAlignment="1">
      <alignment vertical="center"/>
    </xf>
    <xf numFmtId="180" fontId="3" fillId="0" borderId="0" xfId="0" applyNumberFormat="1" applyFont="1"/>
    <xf numFmtId="0" fontId="24" fillId="7" borderId="0" xfId="0" applyFont="1" applyFill="1" applyAlignment="1">
      <alignment horizontal="left"/>
    </xf>
    <xf numFmtId="0" fontId="22" fillId="7" borderId="0" xfId="0" applyFont="1" applyFill="1" applyAlignment="1">
      <alignment horizontal="left"/>
    </xf>
    <xf numFmtId="176" fontId="10" fillId="0" borderId="0" xfId="0" applyNumberFormat="1" applyFont="1" applyAlignment="1">
      <alignment horizontal="left" vertical="top"/>
    </xf>
    <xf numFmtId="176" fontId="10" fillId="0" borderId="0" xfId="0" applyNumberFormat="1" applyFont="1" applyAlignment="1">
      <alignment horizontal="right" vertical="top" wrapText="1"/>
    </xf>
    <xf numFmtId="176" fontId="6" fillId="0" borderId="0" xfId="0" applyNumberFormat="1" applyFont="1" applyAlignment="1">
      <alignment horizontal="left" vertical="top"/>
    </xf>
    <xf numFmtId="176" fontId="6" fillId="0" borderId="0" xfId="0" applyNumberFormat="1" applyFont="1" applyAlignment="1">
      <alignment horizontal="right" vertical="top" wrapText="1"/>
    </xf>
    <xf numFmtId="176" fontId="10" fillId="0" borderId="1" xfId="0" applyNumberFormat="1" applyFont="1" applyBorder="1" applyAlignment="1">
      <alignment horizontal="right" vertical="top" wrapText="1"/>
    </xf>
    <xf numFmtId="176" fontId="12" fillId="0" borderId="1" xfId="0" applyNumberFormat="1" applyFont="1" applyBorder="1" applyAlignment="1">
      <alignment horizontal="right" vertical="top" wrapText="1"/>
    </xf>
    <xf numFmtId="176" fontId="12" fillId="0" borderId="0" xfId="0" applyNumberFormat="1" applyFont="1" applyAlignment="1">
      <alignment horizontal="right" vertical="top" wrapText="1"/>
    </xf>
    <xf numFmtId="0" fontId="5" fillId="0" borderId="0" xfId="0" applyFont="1" applyAlignment="1">
      <alignment horizontal="center" vertical="center" wrapText="1"/>
    </xf>
    <xf numFmtId="0" fontId="8" fillId="0" borderId="0" xfId="0" applyFont="1" applyAlignment="1">
      <alignment horizontal="center" vertical="center" wrapText="1"/>
    </xf>
    <xf numFmtId="0" fontId="8" fillId="0" borderId="17" xfId="0" applyFont="1" applyBorder="1" applyAlignment="1">
      <alignment horizontal="center" vertical="center"/>
    </xf>
    <xf numFmtId="0" fontId="29" fillId="7" borderId="0" xfId="0" applyFont="1" applyFill="1"/>
    <xf numFmtId="0" fontId="3" fillId="7" borderId="0" xfId="0" applyFont="1" applyFill="1"/>
    <xf numFmtId="176" fontId="6" fillId="7" borderId="0" xfId="0" applyNumberFormat="1" applyFont="1" applyFill="1" applyAlignment="1">
      <alignment horizontal="left" vertical="top"/>
    </xf>
    <xf numFmtId="176" fontId="6" fillId="7" borderId="0" xfId="0" applyNumberFormat="1" applyFont="1" applyFill="1" applyAlignment="1">
      <alignment horizontal="right" vertical="top"/>
    </xf>
    <xf numFmtId="176" fontId="3" fillId="7" borderId="0" xfId="0" applyNumberFormat="1" applyFont="1" applyFill="1"/>
    <xf numFmtId="0" fontId="3" fillId="0" borderId="0" xfId="0" applyFont="1" applyAlignment="1">
      <alignment horizontal="left" vertical="top" wrapText="1"/>
    </xf>
    <xf numFmtId="173" fontId="5" fillId="0" borderId="21" xfId="0" applyNumberFormat="1" applyFont="1" applyBorder="1"/>
    <xf numFmtId="174" fontId="5" fillId="0" borderId="21" xfId="0" applyNumberFormat="1" applyFont="1" applyBorder="1"/>
    <xf numFmtId="176" fontId="22" fillId="5" borderId="0" xfId="0" applyNumberFormat="1" applyFont="1" applyFill="1" applyAlignment="1">
      <alignment horizontal="right"/>
    </xf>
    <xf numFmtId="177" fontId="22" fillId="0" borderId="0" xfId="0" applyNumberFormat="1" applyFont="1" applyAlignment="1">
      <alignment horizontal="right"/>
    </xf>
    <xf numFmtId="176" fontId="22" fillId="8" borderId="0" xfId="0" applyNumberFormat="1" applyFont="1" applyFill="1" applyAlignment="1">
      <alignment horizontal="right"/>
    </xf>
    <xf numFmtId="176" fontId="22" fillId="9" borderId="0" xfId="0" applyNumberFormat="1" applyFont="1" applyFill="1" applyAlignment="1">
      <alignment horizontal="right"/>
    </xf>
    <xf numFmtId="0" fontId="22" fillId="7" borderId="0" xfId="0" applyFont="1" applyFill="1" applyAlignment="1">
      <alignment horizontal="right"/>
    </xf>
    <xf numFmtId="177" fontId="22" fillId="7" borderId="0" xfId="0" applyNumberFormat="1" applyFont="1" applyFill="1" applyAlignment="1">
      <alignment horizontal="right"/>
    </xf>
    <xf numFmtId="0" fontId="8" fillId="9" borderId="0" xfId="0" applyFont="1" applyFill="1" applyAlignment="1">
      <alignment horizontal="right"/>
    </xf>
    <xf numFmtId="174" fontId="8" fillId="0" borderId="0" xfId="0" applyNumberFormat="1" applyFont="1" applyAlignment="1">
      <alignment horizontal="right"/>
    </xf>
    <xf numFmtId="174" fontId="22" fillId="0" borderId="0" xfId="0" applyNumberFormat="1" applyFont="1" applyAlignment="1">
      <alignment horizontal="right"/>
    </xf>
    <xf numFmtId="0" fontId="0" fillId="0" borderId="14" xfId="0" applyBorder="1"/>
    <xf numFmtId="0" fontId="0" fillId="0" borderId="15" xfId="0" applyBorder="1"/>
    <xf numFmtId="0" fontId="0" fillId="0" borderId="17" xfId="0" applyBorder="1"/>
    <xf numFmtId="0" fontId="0" fillId="0" borderId="19" xfId="0" applyBorder="1"/>
    <xf numFmtId="0" fontId="22" fillId="5" borderId="18" xfId="0" applyFont="1" applyFill="1" applyBorder="1"/>
    <xf numFmtId="176" fontId="22" fillId="5" borderId="19" xfId="0" applyNumberFormat="1" applyFont="1" applyFill="1" applyBorder="1" applyAlignment="1">
      <alignment horizontal="right"/>
    </xf>
    <xf numFmtId="176" fontId="22" fillId="5" borderId="20" xfId="0" applyNumberFormat="1" applyFont="1" applyFill="1" applyBorder="1" applyAlignment="1">
      <alignment horizontal="right"/>
    </xf>
    <xf numFmtId="0" fontId="8" fillId="0" borderId="21" xfId="0" applyFont="1" applyBorder="1"/>
    <xf numFmtId="0" fontId="22" fillId="0" borderId="2" xfId="0" applyFont="1" applyBorder="1" applyAlignment="1">
      <alignment horizontal="center" vertical="center"/>
    </xf>
    <xf numFmtId="0" fontId="0" fillId="0" borderId="2" xfId="0" applyBorder="1"/>
    <xf numFmtId="0" fontId="0" fillId="0" borderId="3" xfId="0" applyBorder="1"/>
    <xf numFmtId="0" fontId="28" fillId="0" borderId="0" xfId="0" applyFont="1"/>
    <xf numFmtId="0" fontId="28" fillId="0" borderId="0" xfId="0" applyFont="1" applyAlignment="1">
      <alignment horizontal="center"/>
    </xf>
    <xf numFmtId="0" fontId="28" fillId="0" borderId="0" xfId="0" applyFont="1" applyAlignment="1">
      <alignment horizontal="right"/>
    </xf>
    <xf numFmtId="179" fontId="0" fillId="0" borderId="0" xfId="0" applyNumberFormat="1"/>
    <xf numFmtId="8" fontId="0" fillId="0" borderId="0" xfId="0" applyNumberFormat="1"/>
    <xf numFmtId="176" fontId="0" fillId="0" borderId="0" xfId="0" applyNumberFormat="1"/>
    <xf numFmtId="10" fontId="0" fillId="0" borderId="0" xfId="0" applyNumberFormat="1"/>
    <xf numFmtId="179" fontId="0" fillId="5" borderId="0" xfId="0" applyNumberFormat="1" applyFill="1"/>
    <xf numFmtId="176" fontId="0" fillId="5" borderId="0" xfId="0" applyNumberFormat="1" applyFill="1"/>
    <xf numFmtId="0" fontId="0" fillId="5" borderId="0" xfId="0" applyFill="1"/>
    <xf numFmtId="176" fontId="28" fillId="0" borderId="0" xfId="0" applyNumberFormat="1" applyFont="1"/>
    <xf numFmtId="176" fontId="0" fillId="0" borderId="13" xfId="0" applyNumberFormat="1" applyBorder="1"/>
    <xf numFmtId="176" fontId="0" fillId="0" borderId="14" xfId="0" applyNumberFormat="1" applyBorder="1"/>
    <xf numFmtId="176" fontId="0" fillId="5" borderId="14" xfId="0" applyNumberFormat="1" applyFill="1" applyBorder="1"/>
    <xf numFmtId="176" fontId="0" fillId="0" borderId="15" xfId="0" applyNumberFormat="1" applyBorder="1"/>
    <xf numFmtId="176" fontId="0" fillId="0" borderId="16" xfId="0" applyNumberFormat="1" applyBorder="1"/>
    <xf numFmtId="176" fontId="0" fillId="0" borderId="17" xfId="0" applyNumberFormat="1" applyBorder="1"/>
    <xf numFmtId="176" fontId="0" fillId="5" borderId="16" xfId="0" applyNumberFormat="1" applyFill="1" applyBorder="1"/>
    <xf numFmtId="176" fontId="0" fillId="5" borderId="17" xfId="0" applyNumberFormat="1" applyFill="1" applyBorder="1"/>
    <xf numFmtId="176" fontId="0" fillId="0" borderId="18" xfId="0" applyNumberFormat="1" applyBorder="1"/>
    <xf numFmtId="176" fontId="0" fillId="0" borderId="19" xfId="0" applyNumberFormat="1" applyBorder="1"/>
    <xf numFmtId="176" fontId="0" fillId="5" borderId="19" xfId="0" applyNumberFormat="1" applyFill="1" applyBorder="1"/>
    <xf numFmtId="176" fontId="0" fillId="0" borderId="20" xfId="0" applyNumberFormat="1" applyBorder="1"/>
    <xf numFmtId="0" fontId="28" fillId="0" borderId="19" xfId="0" applyFont="1" applyBorder="1"/>
    <xf numFmtId="181" fontId="0" fillId="0" borderId="0" xfId="0" applyNumberFormat="1"/>
    <xf numFmtId="176" fontId="5" fillId="0" borderId="22" xfId="0" applyNumberFormat="1" applyFont="1" applyBorder="1"/>
    <xf numFmtId="176" fontId="3" fillId="0" borderId="5" xfId="0" applyNumberFormat="1" applyFont="1" applyBorder="1"/>
    <xf numFmtId="176" fontId="5" fillId="0" borderId="5" xfId="0" applyNumberFormat="1" applyFont="1" applyBorder="1"/>
    <xf numFmtId="174" fontId="0" fillId="0" borderId="0" xfId="0" applyNumberFormat="1"/>
    <xf numFmtId="0" fontId="8" fillId="0" borderId="21" xfId="0" applyFont="1" applyBorder="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0" fontId="28" fillId="0" borderId="21" xfId="0" applyFont="1" applyBorder="1" applyAlignment="1">
      <alignment horizontal="center"/>
    </xf>
    <xf numFmtId="0" fontId="28" fillId="0" borderId="2" xfId="0" applyFont="1" applyBorder="1" applyAlignment="1">
      <alignment horizontal="center"/>
    </xf>
    <xf numFmtId="0" fontId="28" fillId="0" borderId="3" xfId="0" applyFont="1" applyBorder="1" applyAlignment="1">
      <alignment horizontal="center"/>
    </xf>
    <xf numFmtId="0" fontId="5" fillId="0" borderId="2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8" fillId="0" borderId="0" xfId="0" applyFont="1" applyAlignment="1">
      <alignment horizontal="center" vertical="center"/>
    </xf>
    <xf numFmtId="0" fontId="8" fillId="0" borderId="0" xfId="0" applyFont="1" applyAlignment="1">
      <alignment horizontal="center"/>
    </xf>
    <xf numFmtId="0" fontId="8" fillId="0" borderId="2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22" fillId="0" borderId="2" xfId="0" applyFont="1" applyBorder="1" applyAlignment="1">
      <alignment horizontal="center"/>
    </xf>
    <xf numFmtId="0" fontId="22" fillId="0" borderId="3" xfId="0" applyFont="1" applyBorder="1" applyAlignment="1">
      <alignment horizontal="center"/>
    </xf>
    <xf numFmtId="176" fontId="0" fillId="11" borderId="0" xfId="0" applyNumberFormat="1" applyFill="1"/>
    <xf numFmtId="174" fontId="0" fillId="11" borderId="0" xfId="0" applyNumberFormat="1" applyFill="1"/>
    <xf numFmtId="181" fontId="0" fillId="11" borderId="0" xfId="0" applyNumberFormat="1" applyFill="1"/>
    <xf numFmtId="0" fontId="0" fillId="11" borderId="0" xfId="0" applyFill="1"/>
    <xf numFmtId="0" fontId="0" fillId="11" borderId="0" xfId="0" applyFill="1" applyAlignment="1">
      <alignment horizontal="center"/>
    </xf>
    <xf numFmtId="181" fontId="0" fillId="11" borderId="0" xfId="0" applyNumberFormat="1" applyFill="1" applyAlignment="1">
      <alignment horizontal="center"/>
    </xf>
  </cellXfs>
  <cellStyles count="2">
    <cellStyle name="Invisible" xfId="1" xr:uid="{2EEC31CB-8A83-DA47-A2FA-2502972585E7}"/>
    <cellStyle name="Normal" xfId="0" builtinId="0"/>
  </cellStyles>
  <dxfs count="0"/>
  <tableStyles count="0" defaultTableStyle="TableStyleMedium2" defaultPivotStyle="PivotStyleLight16"/>
  <colors>
    <mruColors>
      <color rgb="FFF0F0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1041400</xdr:colOff>
      <xdr:row>2</xdr:row>
      <xdr:rowOff>101600</xdr:rowOff>
    </xdr:to>
    <xdr:pic>
      <xdr:nvPicPr>
        <xdr:cNvPr id="4" name="Picture 2">
          <a:extLst>
            <a:ext uri="{FF2B5EF4-FFF2-40B4-BE49-F238E27FC236}">
              <a16:creationId xmlns:a16="http://schemas.microsoft.com/office/drawing/2014/main" id="{A1B957EA-B650-AC4B-9B9B-FB024C73F4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414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12700</xdr:colOff>
      <xdr:row>68</xdr:row>
      <xdr:rowOff>0</xdr:rowOff>
    </xdr:from>
    <xdr:to>
      <xdr:col>3</xdr:col>
      <xdr:colOff>660400</xdr:colOff>
      <xdr:row>68</xdr:row>
      <xdr:rowOff>1905000</xdr:rowOff>
    </xdr:to>
    <xdr:pic>
      <xdr:nvPicPr>
        <xdr:cNvPr id="5" name="Picture 3">
          <a:extLst>
            <a:ext uri="{FF2B5EF4-FFF2-40B4-BE49-F238E27FC236}">
              <a16:creationId xmlns:a16="http://schemas.microsoft.com/office/drawing/2014/main" id="{BE7A7D3B-6A39-644A-A0EC-0CFC2614CD9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00" y="10502900"/>
          <a:ext cx="6400800" cy="1905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1041400</xdr:colOff>
      <xdr:row>2</xdr:row>
      <xdr:rowOff>101600</xdr:rowOff>
    </xdr:to>
    <xdr:pic>
      <xdr:nvPicPr>
        <xdr:cNvPr id="2" name="Picture 2">
          <a:extLst>
            <a:ext uri="{FF2B5EF4-FFF2-40B4-BE49-F238E27FC236}">
              <a16:creationId xmlns:a16="http://schemas.microsoft.com/office/drawing/2014/main" id="{96E1F739-F1CA-CF4F-92A9-D8A241F685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414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1041400</xdr:colOff>
      <xdr:row>2</xdr:row>
      <xdr:rowOff>101600</xdr:rowOff>
    </xdr:to>
    <xdr:pic>
      <xdr:nvPicPr>
        <xdr:cNvPr id="2" name="Picture 2">
          <a:extLst>
            <a:ext uri="{FF2B5EF4-FFF2-40B4-BE49-F238E27FC236}">
              <a16:creationId xmlns:a16="http://schemas.microsoft.com/office/drawing/2014/main" id="{4D0FA6C8-02DF-854B-B9E2-230A20F569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414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1041400</xdr:colOff>
      <xdr:row>2</xdr:row>
      <xdr:rowOff>101600</xdr:rowOff>
    </xdr:to>
    <xdr:pic>
      <xdr:nvPicPr>
        <xdr:cNvPr id="2" name="Picture 2">
          <a:extLst>
            <a:ext uri="{FF2B5EF4-FFF2-40B4-BE49-F238E27FC236}">
              <a16:creationId xmlns:a16="http://schemas.microsoft.com/office/drawing/2014/main" id="{09791CC4-7B82-CB41-BAEF-D7752A31B5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414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1041400</xdr:colOff>
      <xdr:row>2</xdr:row>
      <xdr:rowOff>101600</xdr:rowOff>
    </xdr:to>
    <xdr:pic>
      <xdr:nvPicPr>
        <xdr:cNvPr id="2" name="Picture 2">
          <a:extLst>
            <a:ext uri="{FF2B5EF4-FFF2-40B4-BE49-F238E27FC236}">
              <a16:creationId xmlns:a16="http://schemas.microsoft.com/office/drawing/2014/main" id="{F83C98E7-675A-E241-A2DD-F69252BED8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414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1041400</xdr:colOff>
      <xdr:row>2</xdr:row>
      <xdr:rowOff>101600</xdr:rowOff>
    </xdr:to>
    <xdr:pic>
      <xdr:nvPicPr>
        <xdr:cNvPr id="2" name="Picture 2">
          <a:extLst>
            <a:ext uri="{FF2B5EF4-FFF2-40B4-BE49-F238E27FC236}">
              <a16:creationId xmlns:a16="http://schemas.microsoft.com/office/drawing/2014/main" id="{9F1A87E7-ECCA-FA49-AE9A-409A735778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414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1041400</xdr:colOff>
      <xdr:row>2</xdr:row>
      <xdr:rowOff>101600</xdr:rowOff>
    </xdr:to>
    <xdr:pic>
      <xdr:nvPicPr>
        <xdr:cNvPr id="2" name="Picture 2">
          <a:extLst>
            <a:ext uri="{FF2B5EF4-FFF2-40B4-BE49-F238E27FC236}">
              <a16:creationId xmlns:a16="http://schemas.microsoft.com/office/drawing/2014/main" id="{F08F5E01-5AD3-9B48-97B6-7F07ED0808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414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1041400</xdr:colOff>
      <xdr:row>2</xdr:row>
      <xdr:rowOff>101600</xdr:rowOff>
    </xdr:to>
    <xdr:pic>
      <xdr:nvPicPr>
        <xdr:cNvPr id="2" name="Picture 2">
          <a:extLst>
            <a:ext uri="{FF2B5EF4-FFF2-40B4-BE49-F238E27FC236}">
              <a16:creationId xmlns:a16="http://schemas.microsoft.com/office/drawing/2014/main" id="{FDC8939A-E757-D14C-B0C2-F978F83E56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414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12</xdr:col>
      <xdr:colOff>0</xdr:colOff>
      <xdr:row>23</xdr:row>
      <xdr:rowOff>2121</xdr:rowOff>
    </xdr:from>
    <xdr:to>
      <xdr:col>15</xdr:col>
      <xdr:colOff>499315</xdr:colOff>
      <xdr:row>30</xdr:row>
      <xdr:rowOff>173675</xdr:rowOff>
    </xdr:to>
    <xdr:sp macro="" textlink="">
      <xdr:nvSpPr>
        <xdr:cNvPr id="2" name="Rectangle 1">
          <a:extLst>
            <a:ext uri="{FF2B5EF4-FFF2-40B4-BE49-F238E27FC236}">
              <a16:creationId xmlns:a16="http://schemas.microsoft.com/office/drawing/2014/main" id="{E7E66E7A-9D78-A403-8C01-6F9A816EE1F9}"/>
            </a:ext>
          </a:extLst>
        </xdr:cNvPr>
        <xdr:cNvSpPr/>
      </xdr:nvSpPr>
      <xdr:spPr>
        <a:xfrm>
          <a:off x="11979834" y="4995283"/>
          <a:ext cx="2977943" cy="1615230"/>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b="1" cap="none" spc="0">
              <a:ln w="0"/>
              <a:solidFill>
                <a:schemeClr val="tx1"/>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Less:</a:t>
          </a:r>
          <a:r>
            <a:rPr lang="en-GB" sz="1200" b="1" cap="none" spc="0" baseline="0">
              <a:ln w="0"/>
              <a:solidFill>
                <a:schemeClr val="tx1"/>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 Cash &amp; Cash Equivalents </a:t>
          </a:r>
        </a:p>
        <a:p>
          <a:pPr algn="l"/>
          <a:r>
            <a:rPr lang="en-GB" sz="1200" b="0" cap="none" spc="0" baseline="0">
              <a:ln w="0"/>
              <a:solidFill>
                <a:schemeClr val="tx1"/>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As a guide, only collateralised cash is subtracted from gross debt. </a:t>
          </a:r>
        </a:p>
        <a:p>
          <a:pPr algn="l"/>
          <a:endParaRPr lang="en-GB" sz="1200" b="0" cap="none" spc="0" baseline="0">
            <a:ln w="0"/>
            <a:solidFill>
              <a:schemeClr val="tx1"/>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a:p>
          <a:pPr algn="l"/>
          <a:r>
            <a:rPr lang="en-GB" sz="1200" b="0" cap="none" spc="0" baseline="0">
              <a:ln w="0"/>
              <a:solidFill>
                <a:schemeClr val="tx1"/>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Please excercise discretion when determining how much of the company's cash should be used to net off debt. </a:t>
          </a:r>
          <a:endParaRPr lang="en-GB" sz="1200" b="0" cap="none" spc="0">
            <a:ln w="0"/>
            <a:solidFill>
              <a:schemeClr val="tx1"/>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10160</xdr:colOff>
      <xdr:row>20</xdr:row>
      <xdr:rowOff>0</xdr:rowOff>
    </xdr:from>
    <xdr:to>
      <xdr:col>14</xdr:col>
      <xdr:colOff>0</xdr:colOff>
      <xdr:row>25</xdr:row>
      <xdr:rowOff>0</xdr:rowOff>
    </xdr:to>
    <xdr:sp macro="" textlink="">
      <xdr:nvSpPr>
        <xdr:cNvPr id="2" name="Rectangle 1">
          <a:extLst>
            <a:ext uri="{FF2B5EF4-FFF2-40B4-BE49-F238E27FC236}">
              <a16:creationId xmlns:a16="http://schemas.microsoft.com/office/drawing/2014/main" id="{A5FA8915-4407-366B-F7C4-260818B5B8A4}"/>
            </a:ext>
          </a:extLst>
        </xdr:cNvPr>
        <xdr:cNvSpPr/>
      </xdr:nvSpPr>
      <xdr:spPr>
        <a:xfrm>
          <a:off x="12608560" y="2966720"/>
          <a:ext cx="2753360" cy="711200"/>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b="1" cap="none" spc="0">
              <a:ln w="0"/>
              <a:solidFill>
                <a:schemeClr val="tx1"/>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Note</a:t>
          </a:r>
          <a:r>
            <a:rPr lang="en-GB" sz="1200" b="1" cap="none" spc="0" baseline="0">
              <a:ln w="0"/>
              <a:solidFill>
                <a:schemeClr val="tx1"/>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 </a:t>
          </a:r>
        </a:p>
        <a:p>
          <a:pPr algn="l"/>
          <a:r>
            <a:rPr lang="en-GB" sz="1200" b="0" cap="none" spc="0" baseline="0">
              <a:ln w="0"/>
              <a:solidFill>
                <a:schemeClr val="tx1"/>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Please actively mitigate the inefficiency and improve AWC with GTS products.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1041400</xdr:colOff>
      <xdr:row>2</xdr:row>
      <xdr:rowOff>101600</xdr:rowOff>
    </xdr:to>
    <xdr:pic>
      <xdr:nvPicPr>
        <xdr:cNvPr id="2" name="Picture 2">
          <a:extLst>
            <a:ext uri="{FF2B5EF4-FFF2-40B4-BE49-F238E27FC236}">
              <a16:creationId xmlns:a16="http://schemas.microsoft.com/office/drawing/2014/main" id="{75BD1D60-E5AA-604E-8AAD-BA9442241A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414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90</xdr:row>
      <xdr:rowOff>0</xdr:rowOff>
    </xdr:from>
    <xdr:to>
      <xdr:col>1</xdr:col>
      <xdr:colOff>876300</xdr:colOff>
      <xdr:row>92</xdr:row>
      <xdr:rowOff>101600</xdr:rowOff>
    </xdr:to>
    <xdr:pic>
      <xdr:nvPicPr>
        <xdr:cNvPr id="3" name="Picture 3">
          <a:extLst>
            <a:ext uri="{FF2B5EF4-FFF2-40B4-BE49-F238E27FC236}">
              <a16:creationId xmlns:a16="http://schemas.microsoft.com/office/drawing/2014/main" id="{717DCADC-BC78-384D-8165-527DEBB66EA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92500" y="12687300"/>
          <a:ext cx="876300" cy="55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1041400</xdr:colOff>
      <xdr:row>2</xdr:row>
      <xdr:rowOff>101600</xdr:rowOff>
    </xdr:to>
    <xdr:pic>
      <xdr:nvPicPr>
        <xdr:cNvPr id="2" name="Picture 2">
          <a:extLst>
            <a:ext uri="{FF2B5EF4-FFF2-40B4-BE49-F238E27FC236}">
              <a16:creationId xmlns:a16="http://schemas.microsoft.com/office/drawing/2014/main" id="{CE65340F-8C8E-7146-91F7-1A334F549C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414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38</xdr:row>
      <xdr:rowOff>0</xdr:rowOff>
    </xdr:from>
    <xdr:to>
      <xdr:col>1</xdr:col>
      <xdr:colOff>876300</xdr:colOff>
      <xdr:row>40</xdr:row>
      <xdr:rowOff>101600</xdr:rowOff>
    </xdr:to>
    <xdr:pic>
      <xdr:nvPicPr>
        <xdr:cNvPr id="3" name="Picture 3">
          <a:extLst>
            <a:ext uri="{FF2B5EF4-FFF2-40B4-BE49-F238E27FC236}">
              <a16:creationId xmlns:a16="http://schemas.microsoft.com/office/drawing/2014/main" id="{B447C242-3E50-4545-864A-3F7C11B0176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92500" y="7353300"/>
          <a:ext cx="876300" cy="55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1041400</xdr:colOff>
      <xdr:row>2</xdr:row>
      <xdr:rowOff>101600</xdr:rowOff>
    </xdr:to>
    <xdr:pic>
      <xdr:nvPicPr>
        <xdr:cNvPr id="2" name="Picture 2">
          <a:extLst>
            <a:ext uri="{FF2B5EF4-FFF2-40B4-BE49-F238E27FC236}">
              <a16:creationId xmlns:a16="http://schemas.microsoft.com/office/drawing/2014/main" id="{31913BA0-77CE-DD46-A285-DE06028B39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414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EF958-AF46-9C4D-A182-C3F3CA7565D9}">
  <dimension ref="A5:IT91"/>
  <sheetViews>
    <sheetView zoomScale="113" zoomScaleNormal="113" workbookViewId="0">
      <selection activeCell="F69" sqref="F69"/>
    </sheetView>
  </sheetViews>
  <sheetFormatPr baseColWidth="10" defaultRowHeight="16" x14ac:dyDescent="0.2"/>
  <cols>
    <col min="1" max="1" width="45.83203125" style="2" customWidth="1"/>
    <col min="2" max="38" width="14.83203125" style="2" customWidth="1"/>
    <col min="39" max="255" width="8.83203125" style="2" customWidth="1"/>
    <col min="256" max="256" width="45.83203125" style="2" customWidth="1"/>
    <col min="257" max="261" width="14.83203125" style="2" customWidth="1"/>
    <col min="262" max="262" width="3.83203125" style="2" customWidth="1"/>
    <col min="263" max="294" width="14.83203125" style="2" customWidth="1"/>
    <col min="295" max="511" width="8.83203125" style="2" customWidth="1"/>
    <col min="512" max="512" width="45.83203125" style="2" customWidth="1"/>
    <col min="513" max="517" width="14.83203125" style="2" customWidth="1"/>
    <col min="518" max="518" width="3.83203125" style="2" customWidth="1"/>
    <col min="519" max="550" width="14.83203125" style="2" customWidth="1"/>
    <col min="551" max="767" width="8.83203125" style="2" customWidth="1"/>
    <col min="768" max="768" width="45.83203125" style="2" customWidth="1"/>
    <col min="769" max="773" width="14.83203125" style="2" customWidth="1"/>
    <col min="774" max="774" width="3.83203125" style="2" customWidth="1"/>
    <col min="775" max="806" width="14.83203125" style="2" customWidth="1"/>
    <col min="807" max="1023" width="8.83203125" style="2" customWidth="1"/>
    <col min="1024" max="1024" width="45.83203125" style="2" customWidth="1"/>
    <col min="1025" max="1029" width="14.83203125" style="2" customWidth="1"/>
    <col min="1030" max="1030" width="3.83203125" style="2" customWidth="1"/>
    <col min="1031" max="1062" width="14.83203125" style="2" customWidth="1"/>
    <col min="1063" max="1279" width="8.83203125" style="2" customWidth="1"/>
    <col min="1280" max="1280" width="45.83203125" style="2" customWidth="1"/>
    <col min="1281" max="1285" width="14.83203125" style="2" customWidth="1"/>
    <col min="1286" max="1286" width="3.83203125" style="2" customWidth="1"/>
    <col min="1287" max="1318" width="14.83203125" style="2" customWidth="1"/>
    <col min="1319" max="1535" width="8.83203125" style="2" customWidth="1"/>
    <col min="1536" max="1536" width="45.83203125" style="2" customWidth="1"/>
    <col min="1537" max="1541" width="14.83203125" style="2" customWidth="1"/>
    <col min="1542" max="1542" width="3.83203125" style="2" customWidth="1"/>
    <col min="1543" max="1574" width="14.83203125" style="2" customWidth="1"/>
    <col min="1575" max="1791" width="8.83203125" style="2" customWidth="1"/>
    <col min="1792" max="1792" width="45.83203125" style="2" customWidth="1"/>
    <col min="1793" max="1797" width="14.83203125" style="2" customWidth="1"/>
    <col min="1798" max="1798" width="3.83203125" style="2" customWidth="1"/>
    <col min="1799" max="1830" width="14.83203125" style="2" customWidth="1"/>
    <col min="1831" max="2047" width="8.83203125" style="2" customWidth="1"/>
    <col min="2048" max="2048" width="45.83203125" style="2" customWidth="1"/>
    <col min="2049" max="2053" width="14.83203125" style="2" customWidth="1"/>
    <col min="2054" max="2054" width="3.83203125" style="2" customWidth="1"/>
    <col min="2055" max="2086" width="14.83203125" style="2" customWidth="1"/>
    <col min="2087" max="2303" width="8.83203125" style="2" customWidth="1"/>
    <col min="2304" max="2304" width="45.83203125" style="2" customWidth="1"/>
    <col min="2305" max="2309" width="14.83203125" style="2" customWidth="1"/>
    <col min="2310" max="2310" width="3.83203125" style="2" customWidth="1"/>
    <col min="2311" max="2342" width="14.83203125" style="2" customWidth="1"/>
    <col min="2343" max="2559" width="8.83203125" style="2" customWidth="1"/>
    <col min="2560" max="2560" width="45.83203125" style="2" customWidth="1"/>
    <col min="2561" max="2565" width="14.83203125" style="2" customWidth="1"/>
    <col min="2566" max="2566" width="3.83203125" style="2" customWidth="1"/>
    <col min="2567" max="2598" width="14.83203125" style="2" customWidth="1"/>
    <col min="2599" max="2815" width="8.83203125" style="2" customWidth="1"/>
    <col min="2816" max="2816" width="45.83203125" style="2" customWidth="1"/>
    <col min="2817" max="2821" width="14.83203125" style="2" customWidth="1"/>
    <col min="2822" max="2822" width="3.83203125" style="2" customWidth="1"/>
    <col min="2823" max="2854" width="14.83203125" style="2" customWidth="1"/>
    <col min="2855" max="3071" width="8.83203125" style="2" customWidth="1"/>
    <col min="3072" max="3072" width="45.83203125" style="2" customWidth="1"/>
    <col min="3073" max="3077" width="14.83203125" style="2" customWidth="1"/>
    <col min="3078" max="3078" width="3.83203125" style="2" customWidth="1"/>
    <col min="3079" max="3110" width="14.83203125" style="2" customWidth="1"/>
    <col min="3111" max="3327" width="8.83203125" style="2" customWidth="1"/>
    <col min="3328" max="3328" width="45.83203125" style="2" customWidth="1"/>
    <col min="3329" max="3333" width="14.83203125" style="2" customWidth="1"/>
    <col min="3334" max="3334" width="3.83203125" style="2" customWidth="1"/>
    <col min="3335" max="3366" width="14.83203125" style="2" customWidth="1"/>
    <col min="3367" max="3583" width="8.83203125" style="2" customWidth="1"/>
    <col min="3584" max="3584" width="45.83203125" style="2" customWidth="1"/>
    <col min="3585" max="3589" width="14.83203125" style="2" customWidth="1"/>
    <col min="3590" max="3590" width="3.83203125" style="2" customWidth="1"/>
    <col min="3591" max="3622" width="14.83203125" style="2" customWidth="1"/>
    <col min="3623" max="3839" width="8.83203125" style="2" customWidth="1"/>
    <col min="3840" max="3840" width="45.83203125" style="2" customWidth="1"/>
    <col min="3841" max="3845" width="14.83203125" style="2" customWidth="1"/>
    <col min="3846" max="3846" width="3.83203125" style="2" customWidth="1"/>
    <col min="3847" max="3878" width="14.83203125" style="2" customWidth="1"/>
    <col min="3879" max="4095" width="8.83203125" style="2" customWidth="1"/>
    <col min="4096" max="4096" width="45.83203125" style="2" customWidth="1"/>
    <col min="4097" max="4101" width="14.83203125" style="2" customWidth="1"/>
    <col min="4102" max="4102" width="3.83203125" style="2" customWidth="1"/>
    <col min="4103" max="4134" width="14.83203125" style="2" customWidth="1"/>
    <col min="4135" max="4351" width="8.83203125" style="2" customWidth="1"/>
    <col min="4352" max="4352" width="45.83203125" style="2" customWidth="1"/>
    <col min="4353" max="4357" width="14.83203125" style="2" customWidth="1"/>
    <col min="4358" max="4358" width="3.83203125" style="2" customWidth="1"/>
    <col min="4359" max="4390" width="14.83203125" style="2" customWidth="1"/>
    <col min="4391" max="4607" width="8.83203125" style="2" customWidth="1"/>
    <col min="4608" max="4608" width="45.83203125" style="2" customWidth="1"/>
    <col min="4609" max="4613" width="14.83203125" style="2" customWidth="1"/>
    <col min="4614" max="4614" width="3.83203125" style="2" customWidth="1"/>
    <col min="4615" max="4646" width="14.83203125" style="2" customWidth="1"/>
    <col min="4647" max="4863" width="8.83203125" style="2" customWidth="1"/>
    <col min="4864" max="4864" width="45.83203125" style="2" customWidth="1"/>
    <col min="4865" max="4869" width="14.83203125" style="2" customWidth="1"/>
    <col min="4870" max="4870" width="3.83203125" style="2" customWidth="1"/>
    <col min="4871" max="4902" width="14.83203125" style="2" customWidth="1"/>
    <col min="4903" max="5119" width="8.83203125" style="2" customWidth="1"/>
    <col min="5120" max="5120" width="45.83203125" style="2" customWidth="1"/>
    <col min="5121" max="5125" width="14.83203125" style="2" customWidth="1"/>
    <col min="5126" max="5126" width="3.83203125" style="2" customWidth="1"/>
    <col min="5127" max="5158" width="14.83203125" style="2" customWidth="1"/>
    <col min="5159" max="5375" width="8.83203125" style="2" customWidth="1"/>
    <col min="5376" max="5376" width="45.83203125" style="2" customWidth="1"/>
    <col min="5377" max="5381" width="14.83203125" style="2" customWidth="1"/>
    <col min="5382" max="5382" width="3.83203125" style="2" customWidth="1"/>
    <col min="5383" max="5414" width="14.83203125" style="2" customWidth="1"/>
    <col min="5415" max="5631" width="8.83203125" style="2" customWidth="1"/>
    <col min="5632" max="5632" width="45.83203125" style="2" customWidth="1"/>
    <col min="5633" max="5637" width="14.83203125" style="2" customWidth="1"/>
    <col min="5638" max="5638" width="3.83203125" style="2" customWidth="1"/>
    <col min="5639" max="5670" width="14.83203125" style="2" customWidth="1"/>
    <col min="5671" max="5887" width="8.83203125" style="2" customWidth="1"/>
    <col min="5888" max="5888" width="45.83203125" style="2" customWidth="1"/>
    <col min="5889" max="5893" width="14.83203125" style="2" customWidth="1"/>
    <col min="5894" max="5894" width="3.83203125" style="2" customWidth="1"/>
    <col min="5895" max="5926" width="14.83203125" style="2" customWidth="1"/>
    <col min="5927" max="6143" width="8.83203125" style="2" customWidth="1"/>
    <col min="6144" max="6144" width="45.83203125" style="2" customWidth="1"/>
    <col min="6145" max="6149" width="14.83203125" style="2" customWidth="1"/>
    <col min="6150" max="6150" width="3.83203125" style="2" customWidth="1"/>
    <col min="6151" max="6182" width="14.83203125" style="2" customWidth="1"/>
    <col min="6183" max="6399" width="8.83203125" style="2" customWidth="1"/>
    <col min="6400" max="6400" width="45.83203125" style="2" customWidth="1"/>
    <col min="6401" max="6405" width="14.83203125" style="2" customWidth="1"/>
    <col min="6406" max="6406" width="3.83203125" style="2" customWidth="1"/>
    <col min="6407" max="6438" width="14.83203125" style="2" customWidth="1"/>
    <col min="6439" max="6655" width="8.83203125" style="2" customWidth="1"/>
    <col min="6656" max="6656" width="45.83203125" style="2" customWidth="1"/>
    <col min="6657" max="6661" width="14.83203125" style="2" customWidth="1"/>
    <col min="6662" max="6662" width="3.83203125" style="2" customWidth="1"/>
    <col min="6663" max="6694" width="14.83203125" style="2" customWidth="1"/>
    <col min="6695" max="6911" width="8.83203125" style="2" customWidth="1"/>
    <col min="6912" max="6912" width="45.83203125" style="2" customWidth="1"/>
    <col min="6913" max="6917" width="14.83203125" style="2" customWidth="1"/>
    <col min="6918" max="6918" width="3.83203125" style="2" customWidth="1"/>
    <col min="6919" max="6950" width="14.83203125" style="2" customWidth="1"/>
    <col min="6951" max="7167" width="8.83203125" style="2" customWidth="1"/>
    <col min="7168" max="7168" width="45.83203125" style="2" customWidth="1"/>
    <col min="7169" max="7173" width="14.83203125" style="2" customWidth="1"/>
    <col min="7174" max="7174" width="3.83203125" style="2" customWidth="1"/>
    <col min="7175" max="7206" width="14.83203125" style="2" customWidth="1"/>
    <col min="7207" max="7423" width="8.83203125" style="2" customWidth="1"/>
    <col min="7424" max="7424" width="45.83203125" style="2" customWidth="1"/>
    <col min="7425" max="7429" width="14.83203125" style="2" customWidth="1"/>
    <col min="7430" max="7430" width="3.83203125" style="2" customWidth="1"/>
    <col min="7431" max="7462" width="14.83203125" style="2" customWidth="1"/>
    <col min="7463" max="7679" width="8.83203125" style="2" customWidth="1"/>
    <col min="7680" max="7680" width="45.83203125" style="2" customWidth="1"/>
    <col min="7681" max="7685" width="14.83203125" style="2" customWidth="1"/>
    <col min="7686" max="7686" width="3.83203125" style="2" customWidth="1"/>
    <col min="7687" max="7718" width="14.83203125" style="2" customWidth="1"/>
    <col min="7719" max="7935" width="8.83203125" style="2" customWidth="1"/>
    <col min="7936" max="7936" width="45.83203125" style="2" customWidth="1"/>
    <col min="7937" max="7941" width="14.83203125" style="2" customWidth="1"/>
    <col min="7942" max="7942" width="3.83203125" style="2" customWidth="1"/>
    <col min="7943" max="7974" width="14.83203125" style="2" customWidth="1"/>
    <col min="7975" max="8191" width="8.83203125" style="2" customWidth="1"/>
    <col min="8192" max="8192" width="45.83203125" style="2" customWidth="1"/>
    <col min="8193" max="8197" width="14.83203125" style="2" customWidth="1"/>
    <col min="8198" max="8198" width="3.83203125" style="2" customWidth="1"/>
    <col min="8199" max="8230" width="14.83203125" style="2" customWidth="1"/>
    <col min="8231" max="8447" width="8.83203125" style="2" customWidth="1"/>
    <col min="8448" max="8448" width="45.83203125" style="2" customWidth="1"/>
    <col min="8449" max="8453" width="14.83203125" style="2" customWidth="1"/>
    <col min="8454" max="8454" width="3.83203125" style="2" customWidth="1"/>
    <col min="8455" max="8486" width="14.83203125" style="2" customWidth="1"/>
    <col min="8487" max="8703" width="8.83203125" style="2" customWidth="1"/>
    <col min="8704" max="8704" width="45.83203125" style="2" customWidth="1"/>
    <col min="8705" max="8709" width="14.83203125" style="2" customWidth="1"/>
    <col min="8710" max="8710" width="3.83203125" style="2" customWidth="1"/>
    <col min="8711" max="8742" width="14.83203125" style="2" customWidth="1"/>
    <col min="8743" max="8959" width="8.83203125" style="2" customWidth="1"/>
    <col min="8960" max="8960" width="45.83203125" style="2" customWidth="1"/>
    <col min="8961" max="8965" width="14.83203125" style="2" customWidth="1"/>
    <col min="8966" max="8966" width="3.83203125" style="2" customWidth="1"/>
    <col min="8967" max="8998" width="14.83203125" style="2" customWidth="1"/>
    <col min="8999" max="9215" width="8.83203125" style="2" customWidth="1"/>
    <col min="9216" max="9216" width="45.83203125" style="2" customWidth="1"/>
    <col min="9217" max="9221" width="14.83203125" style="2" customWidth="1"/>
    <col min="9222" max="9222" width="3.83203125" style="2" customWidth="1"/>
    <col min="9223" max="9254" width="14.83203125" style="2" customWidth="1"/>
    <col min="9255" max="9471" width="8.83203125" style="2" customWidth="1"/>
    <col min="9472" max="9472" width="45.83203125" style="2" customWidth="1"/>
    <col min="9473" max="9477" width="14.83203125" style="2" customWidth="1"/>
    <col min="9478" max="9478" width="3.83203125" style="2" customWidth="1"/>
    <col min="9479" max="9510" width="14.83203125" style="2" customWidth="1"/>
    <col min="9511" max="9727" width="8.83203125" style="2" customWidth="1"/>
    <col min="9728" max="9728" width="45.83203125" style="2" customWidth="1"/>
    <col min="9729" max="9733" width="14.83203125" style="2" customWidth="1"/>
    <col min="9734" max="9734" width="3.83203125" style="2" customWidth="1"/>
    <col min="9735" max="9766" width="14.83203125" style="2" customWidth="1"/>
    <col min="9767" max="9983" width="8.83203125" style="2" customWidth="1"/>
    <col min="9984" max="9984" width="45.83203125" style="2" customWidth="1"/>
    <col min="9985" max="9989" width="14.83203125" style="2" customWidth="1"/>
    <col min="9990" max="9990" width="3.83203125" style="2" customWidth="1"/>
    <col min="9991" max="10022" width="14.83203125" style="2" customWidth="1"/>
    <col min="10023" max="10239" width="8.83203125" style="2" customWidth="1"/>
    <col min="10240" max="10240" width="45.83203125" style="2" customWidth="1"/>
    <col min="10241" max="10245" width="14.83203125" style="2" customWidth="1"/>
    <col min="10246" max="10246" width="3.83203125" style="2" customWidth="1"/>
    <col min="10247" max="10278" width="14.83203125" style="2" customWidth="1"/>
    <col min="10279" max="10495" width="8.83203125" style="2" customWidth="1"/>
    <col min="10496" max="10496" width="45.83203125" style="2" customWidth="1"/>
    <col min="10497" max="10501" width="14.83203125" style="2" customWidth="1"/>
    <col min="10502" max="10502" width="3.83203125" style="2" customWidth="1"/>
    <col min="10503" max="10534" width="14.83203125" style="2" customWidth="1"/>
    <col min="10535" max="10751" width="8.83203125" style="2" customWidth="1"/>
    <col min="10752" max="10752" width="45.83203125" style="2" customWidth="1"/>
    <col min="10753" max="10757" width="14.83203125" style="2" customWidth="1"/>
    <col min="10758" max="10758" width="3.83203125" style="2" customWidth="1"/>
    <col min="10759" max="10790" width="14.83203125" style="2" customWidth="1"/>
    <col min="10791" max="11007" width="8.83203125" style="2" customWidth="1"/>
    <col min="11008" max="11008" width="45.83203125" style="2" customWidth="1"/>
    <col min="11009" max="11013" width="14.83203125" style="2" customWidth="1"/>
    <col min="11014" max="11014" width="3.83203125" style="2" customWidth="1"/>
    <col min="11015" max="11046" width="14.83203125" style="2" customWidth="1"/>
    <col min="11047" max="11263" width="8.83203125" style="2" customWidth="1"/>
    <col min="11264" max="11264" width="45.83203125" style="2" customWidth="1"/>
    <col min="11265" max="11269" width="14.83203125" style="2" customWidth="1"/>
    <col min="11270" max="11270" width="3.83203125" style="2" customWidth="1"/>
    <col min="11271" max="11302" width="14.83203125" style="2" customWidth="1"/>
    <col min="11303" max="11519" width="8.83203125" style="2" customWidth="1"/>
    <col min="11520" max="11520" width="45.83203125" style="2" customWidth="1"/>
    <col min="11521" max="11525" width="14.83203125" style="2" customWidth="1"/>
    <col min="11526" max="11526" width="3.83203125" style="2" customWidth="1"/>
    <col min="11527" max="11558" width="14.83203125" style="2" customWidth="1"/>
    <col min="11559" max="11775" width="8.83203125" style="2" customWidth="1"/>
    <col min="11776" max="11776" width="45.83203125" style="2" customWidth="1"/>
    <col min="11777" max="11781" width="14.83203125" style="2" customWidth="1"/>
    <col min="11782" max="11782" width="3.83203125" style="2" customWidth="1"/>
    <col min="11783" max="11814" width="14.83203125" style="2" customWidth="1"/>
    <col min="11815" max="12031" width="8.83203125" style="2" customWidth="1"/>
    <col min="12032" max="12032" width="45.83203125" style="2" customWidth="1"/>
    <col min="12033" max="12037" width="14.83203125" style="2" customWidth="1"/>
    <col min="12038" max="12038" width="3.83203125" style="2" customWidth="1"/>
    <col min="12039" max="12070" width="14.83203125" style="2" customWidth="1"/>
    <col min="12071" max="12287" width="8.83203125" style="2" customWidth="1"/>
    <col min="12288" max="12288" width="45.83203125" style="2" customWidth="1"/>
    <col min="12289" max="12293" width="14.83203125" style="2" customWidth="1"/>
    <col min="12294" max="12294" width="3.83203125" style="2" customWidth="1"/>
    <col min="12295" max="12326" width="14.83203125" style="2" customWidth="1"/>
    <col min="12327" max="12543" width="8.83203125" style="2" customWidth="1"/>
    <col min="12544" max="12544" width="45.83203125" style="2" customWidth="1"/>
    <col min="12545" max="12549" width="14.83203125" style="2" customWidth="1"/>
    <col min="12550" max="12550" width="3.83203125" style="2" customWidth="1"/>
    <col min="12551" max="12582" width="14.83203125" style="2" customWidth="1"/>
    <col min="12583" max="12799" width="8.83203125" style="2" customWidth="1"/>
    <col min="12800" max="12800" width="45.83203125" style="2" customWidth="1"/>
    <col min="12801" max="12805" width="14.83203125" style="2" customWidth="1"/>
    <col min="12806" max="12806" width="3.83203125" style="2" customWidth="1"/>
    <col min="12807" max="12838" width="14.83203125" style="2" customWidth="1"/>
    <col min="12839" max="13055" width="8.83203125" style="2" customWidth="1"/>
    <col min="13056" max="13056" width="45.83203125" style="2" customWidth="1"/>
    <col min="13057" max="13061" width="14.83203125" style="2" customWidth="1"/>
    <col min="13062" max="13062" width="3.83203125" style="2" customWidth="1"/>
    <col min="13063" max="13094" width="14.83203125" style="2" customWidth="1"/>
    <col min="13095" max="13311" width="8.83203125" style="2" customWidth="1"/>
    <col min="13312" max="13312" width="45.83203125" style="2" customWidth="1"/>
    <col min="13313" max="13317" width="14.83203125" style="2" customWidth="1"/>
    <col min="13318" max="13318" width="3.83203125" style="2" customWidth="1"/>
    <col min="13319" max="13350" width="14.83203125" style="2" customWidth="1"/>
    <col min="13351" max="13567" width="8.83203125" style="2" customWidth="1"/>
    <col min="13568" max="13568" width="45.83203125" style="2" customWidth="1"/>
    <col min="13569" max="13573" width="14.83203125" style="2" customWidth="1"/>
    <col min="13574" max="13574" width="3.83203125" style="2" customWidth="1"/>
    <col min="13575" max="13606" width="14.83203125" style="2" customWidth="1"/>
    <col min="13607" max="13823" width="8.83203125" style="2" customWidth="1"/>
    <col min="13824" max="13824" width="45.83203125" style="2" customWidth="1"/>
    <col min="13825" max="13829" width="14.83203125" style="2" customWidth="1"/>
    <col min="13830" max="13830" width="3.83203125" style="2" customWidth="1"/>
    <col min="13831" max="13862" width="14.83203125" style="2" customWidth="1"/>
    <col min="13863" max="14079" width="8.83203125" style="2" customWidth="1"/>
    <col min="14080" max="14080" width="45.83203125" style="2" customWidth="1"/>
    <col min="14081" max="14085" width="14.83203125" style="2" customWidth="1"/>
    <col min="14086" max="14086" width="3.83203125" style="2" customWidth="1"/>
    <col min="14087" max="14118" width="14.83203125" style="2" customWidth="1"/>
    <col min="14119" max="14335" width="8.83203125" style="2" customWidth="1"/>
    <col min="14336" max="14336" width="45.83203125" style="2" customWidth="1"/>
    <col min="14337" max="14341" width="14.83203125" style="2" customWidth="1"/>
    <col min="14342" max="14342" width="3.83203125" style="2" customWidth="1"/>
    <col min="14343" max="14374" width="14.83203125" style="2" customWidth="1"/>
    <col min="14375" max="14591" width="8.83203125" style="2" customWidth="1"/>
    <col min="14592" max="14592" width="45.83203125" style="2" customWidth="1"/>
    <col min="14593" max="14597" width="14.83203125" style="2" customWidth="1"/>
    <col min="14598" max="14598" width="3.83203125" style="2" customWidth="1"/>
    <col min="14599" max="14630" width="14.83203125" style="2" customWidth="1"/>
    <col min="14631" max="14847" width="8.83203125" style="2" customWidth="1"/>
    <col min="14848" max="14848" width="45.83203125" style="2" customWidth="1"/>
    <col min="14849" max="14853" width="14.83203125" style="2" customWidth="1"/>
    <col min="14854" max="14854" width="3.83203125" style="2" customWidth="1"/>
    <col min="14855" max="14886" width="14.83203125" style="2" customWidth="1"/>
    <col min="14887" max="15103" width="8.83203125" style="2" customWidth="1"/>
    <col min="15104" max="15104" width="45.83203125" style="2" customWidth="1"/>
    <col min="15105" max="15109" width="14.83203125" style="2" customWidth="1"/>
    <col min="15110" max="15110" width="3.83203125" style="2" customWidth="1"/>
    <col min="15111" max="15142" width="14.83203125" style="2" customWidth="1"/>
    <col min="15143" max="15359" width="8.83203125" style="2" customWidth="1"/>
    <col min="15360" max="15360" width="45.83203125" style="2" customWidth="1"/>
    <col min="15361" max="15365" width="14.83203125" style="2" customWidth="1"/>
    <col min="15366" max="15366" width="3.83203125" style="2" customWidth="1"/>
    <col min="15367" max="15398" width="14.83203125" style="2" customWidth="1"/>
    <col min="15399" max="15615" width="8.83203125" style="2" customWidth="1"/>
    <col min="15616" max="15616" width="45.83203125" style="2" customWidth="1"/>
    <col min="15617" max="15621" width="14.83203125" style="2" customWidth="1"/>
    <col min="15622" max="15622" width="3.83203125" style="2" customWidth="1"/>
    <col min="15623" max="15654" width="14.83203125" style="2" customWidth="1"/>
    <col min="15655" max="15871" width="8.83203125" style="2" customWidth="1"/>
    <col min="15872" max="15872" width="45.83203125" style="2" customWidth="1"/>
    <col min="15873" max="15877" width="14.83203125" style="2" customWidth="1"/>
    <col min="15878" max="15878" width="3.83203125" style="2" customWidth="1"/>
    <col min="15879" max="15910" width="14.83203125" style="2" customWidth="1"/>
    <col min="15911" max="16127" width="8.83203125" style="2" customWidth="1"/>
    <col min="16128" max="16128" width="45.83203125" style="2" customWidth="1"/>
    <col min="16129" max="16133" width="14.83203125" style="2" customWidth="1"/>
    <col min="16134" max="16134" width="3.83203125" style="2" customWidth="1"/>
    <col min="16135" max="16166" width="14.83203125" style="2" customWidth="1"/>
    <col min="16167" max="16384" width="8.83203125" style="2" customWidth="1"/>
  </cols>
  <sheetData>
    <row r="5" spans="1:223" x14ac:dyDescent="0.2">
      <c r="A5" s="43" t="s">
        <v>0</v>
      </c>
    </row>
    <row r="7" spans="1:223" ht="34" x14ac:dyDescent="0.2">
      <c r="A7" s="3" t="s">
        <v>1</v>
      </c>
      <c r="B7" s="4" t="s">
        <v>2</v>
      </c>
      <c r="C7" s="2" t="s">
        <v>3</v>
      </c>
      <c r="D7" s="5" t="s">
        <v>4</v>
      </c>
      <c r="E7" s="4" t="s">
        <v>5</v>
      </c>
      <c r="F7" s="2" t="s">
        <v>6</v>
      </c>
    </row>
    <row r="8" spans="1:223" x14ac:dyDescent="0.2">
      <c r="A8" s="5"/>
      <c r="B8" s="4" t="s">
        <v>7</v>
      </c>
      <c r="C8" s="2" t="s">
        <v>8</v>
      </c>
      <c r="D8" s="5" t="s">
        <v>4</v>
      </c>
      <c r="E8" s="4" t="s">
        <v>9</v>
      </c>
      <c r="F8" s="2" t="s">
        <v>10</v>
      </c>
    </row>
    <row r="9" spans="1:223" x14ac:dyDescent="0.2">
      <c r="A9" s="5"/>
      <c r="B9" s="4" t="s">
        <v>11</v>
      </c>
      <c r="C9" s="6" t="s">
        <v>12</v>
      </c>
      <c r="D9" s="5" t="s">
        <v>4</v>
      </c>
      <c r="E9" s="4" t="s">
        <v>13</v>
      </c>
      <c r="F9" s="2" t="s">
        <v>14</v>
      </c>
    </row>
    <row r="12" spans="1:223" x14ac:dyDescent="0.2">
      <c r="A12" s="44" t="s">
        <v>15</v>
      </c>
      <c r="B12" s="44"/>
      <c r="C12" s="44"/>
      <c r="D12" s="44"/>
      <c r="E12" s="44"/>
      <c r="F12" s="44"/>
      <c r="G12" s="44"/>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c r="CK12" s="45"/>
      <c r="CL12" s="45"/>
      <c r="CM12" s="45"/>
      <c r="CN12" s="45"/>
      <c r="CO12" s="45"/>
      <c r="CP12" s="45"/>
      <c r="CQ12" s="45"/>
      <c r="CR12" s="45"/>
      <c r="CS12" s="45"/>
      <c r="CT12" s="45"/>
      <c r="CU12" s="45"/>
      <c r="CV12" s="45"/>
      <c r="CW12" s="45"/>
      <c r="CX12" s="45"/>
      <c r="CY12" s="45"/>
      <c r="CZ12" s="45"/>
      <c r="DA12" s="45"/>
      <c r="DB12" s="45"/>
      <c r="DC12" s="45"/>
      <c r="DD12" s="45"/>
      <c r="DE12" s="45"/>
      <c r="DF12" s="45"/>
      <c r="DG12" s="45"/>
      <c r="DH12" s="45"/>
      <c r="DI12" s="45"/>
      <c r="DJ12" s="45"/>
      <c r="DK12" s="45"/>
      <c r="DL12" s="45"/>
      <c r="DM12" s="45"/>
      <c r="DN12" s="45"/>
      <c r="DO12" s="45"/>
      <c r="DP12" s="45"/>
      <c r="DQ12" s="45"/>
      <c r="DR12" s="45"/>
      <c r="DS12" s="45"/>
      <c r="DT12" s="45"/>
      <c r="DU12" s="45"/>
      <c r="DV12" s="45"/>
      <c r="DW12" s="45"/>
      <c r="DX12" s="45"/>
      <c r="DY12" s="45"/>
      <c r="DZ12" s="45"/>
      <c r="EA12" s="45"/>
      <c r="EB12" s="45"/>
      <c r="EC12" s="45"/>
      <c r="ED12" s="45"/>
      <c r="EE12" s="45"/>
      <c r="EF12" s="45"/>
      <c r="EG12" s="45"/>
      <c r="EH12" s="45"/>
      <c r="EI12" s="45"/>
      <c r="EJ12" s="45"/>
      <c r="EK12" s="45"/>
      <c r="EL12" s="45"/>
      <c r="EM12" s="45"/>
      <c r="EN12" s="45"/>
      <c r="EO12" s="45"/>
      <c r="EP12" s="45"/>
      <c r="EQ12" s="45"/>
      <c r="ER12" s="45"/>
      <c r="ES12" s="45"/>
      <c r="ET12" s="45"/>
      <c r="EU12" s="45"/>
      <c r="EV12" s="45"/>
      <c r="EW12" s="45"/>
      <c r="EX12" s="45"/>
      <c r="EY12" s="45"/>
      <c r="EZ12" s="45"/>
      <c r="FA12" s="45"/>
      <c r="FB12" s="45"/>
      <c r="FC12" s="45"/>
      <c r="FD12" s="45"/>
      <c r="FE12" s="45"/>
      <c r="FF12" s="45"/>
      <c r="FG12" s="45"/>
      <c r="FH12" s="45"/>
      <c r="FI12" s="45"/>
      <c r="FJ12" s="45"/>
      <c r="FK12" s="45"/>
      <c r="FL12" s="45"/>
      <c r="FM12" s="45"/>
      <c r="FN12" s="45"/>
      <c r="FO12" s="45"/>
      <c r="FP12" s="45"/>
      <c r="FQ12" s="45"/>
      <c r="FR12" s="45"/>
      <c r="FS12" s="45"/>
      <c r="FT12" s="45"/>
      <c r="FU12" s="45"/>
      <c r="FV12" s="45"/>
      <c r="FW12" s="45"/>
      <c r="FX12" s="45"/>
      <c r="FY12" s="45"/>
      <c r="FZ12" s="45"/>
      <c r="GA12" s="45"/>
      <c r="GB12" s="45"/>
      <c r="GC12" s="45"/>
      <c r="GD12" s="45"/>
      <c r="GE12" s="45"/>
      <c r="GF12" s="45"/>
      <c r="GG12" s="45"/>
      <c r="GH12" s="45"/>
      <c r="GI12" s="45"/>
      <c r="GJ12" s="45"/>
      <c r="GK12" s="45"/>
      <c r="GL12" s="45"/>
      <c r="GM12" s="45"/>
      <c r="GN12" s="45"/>
      <c r="GO12" s="45"/>
      <c r="GP12" s="45"/>
      <c r="GQ12" s="45"/>
      <c r="GR12" s="45"/>
      <c r="GS12" s="45"/>
      <c r="GT12" s="45"/>
      <c r="GU12" s="45"/>
      <c r="GV12" s="45"/>
      <c r="GW12" s="45"/>
      <c r="GX12" s="45"/>
      <c r="GY12" s="45"/>
      <c r="GZ12" s="45"/>
      <c r="HA12" s="45"/>
      <c r="HB12" s="45"/>
      <c r="HC12" s="45"/>
      <c r="HD12" s="45"/>
      <c r="HE12" s="45"/>
      <c r="HF12" s="45"/>
      <c r="HG12" s="45"/>
      <c r="HH12" s="45"/>
      <c r="HI12" s="45"/>
      <c r="HJ12" s="45"/>
      <c r="HK12" s="45"/>
      <c r="HL12" s="45"/>
      <c r="HM12" s="45"/>
      <c r="HN12" s="45"/>
      <c r="HO12" s="45"/>
    </row>
    <row r="13" spans="1:223" ht="34" x14ac:dyDescent="0.2">
      <c r="A13" s="10" t="s">
        <v>16</v>
      </c>
      <c r="B13" s="11" t="s">
        <v>17</v>
      </c>
      <c r="C13" s="11" t="s">
        <v>18</v>
      </c>
      <c r="D13" s="11" t="s">
        <v>19</v>
      </c>
      <c r="E13" s="11" t="s">
        <v>20</v>
      </c>
      <c r="F13" s="11" t="s">
        <v>21</v>
      </c>
      <c r="G13" s="11" t="s">
        <v>22</v>
      </c>
    </row>
    <row r="14" spans="1:223" ht="17" x14ac:dyDescent="0.2">
      <c r="A14" s="12" t="s">
        <v>23</v>
      </c>
      <c r="B14" s="13" t="s">
        <v>24</v>
      </c>
      <c r="C14" s="13" t="s">
        <v>24</v>
      </c>
      <c r="D14" s="13" t="s">
        <v>24</v>
      </c>
      <c r="E14" s="13" t="s">
        <v>24</v>
      </c>
      <c r="F14" s="13" t="s">
        <v>24</v>
      </c>
      <c r="G14" s="13" t="s">
        <v>24</v>
      </c>
    </row>
    <row r="15" spans="1:223" x14ac:dyDescent="0.2">
      <c r="A15" s="14"/>
      <c r="B15" s="5"/>
      <c r="C15" s="5"/>
      <c r="D15" s="5"/>
      <c r="E15" s="5"/>
      <c r="F15" s="5"/>
      <c r="G15" s="5"/>
    </row>
    <row r="16" spans="1:223" x14ac:dyDescent="0.2">
      <c r="A16" s="14" t="s">
        <v>25</v>
      </c>
      <c r="B16" s="17">
        <v>58091</v>
      </c>
      <c r="C16" s="17">
        <v>57887</v>
      </c>
      <c r="D16" s="17">
        <v>61344</v>
      </c>
      <c r="E16" s="17">
        <v>65322</v>
      </c>
      <c r="F16" s="17">
        <v>68187</v>
      </c>
      <c r="G16" s="17">
        <v>69916</v>
      </c>
    </row>
    <row r="17" spans="1:7" x14ac:dyDescent="0.2">
      <c r="A17" s="32" t="s">
        <v>26</v>
      </c>
      <c r="B17" s="33">
        <v>-9.1064999999999993E-2</v>
      </c>
      <c r="C17" s="33">
        <v>-3.5119999999999999E-3</v>
      </c>
      <c r="D17" s="33">
        <v>5.9719000000000001E-2</v>
      </c>
      <c r="E17" s="33">
        <v>6.4847000000000002E-2</v>
      </c>
      <c r="F17" s="33">
        <v>4.3859000000000002E-2</v>
      </c>
      <c r="G17" s="33">
        <v>2.5356E-2</v>
      </c>
    </row>
    <row r="18" spans="1:7" x14ac:dyDescent="0.2">
      <c r="A18" s="5"/>
      <c r="B18" s="5"/>
      <c r="C18" s="5"/>
      <c r="D18" s="5"/>
      <c r="E18" s="5"/>
      <c r="F18" s="5"/>
      <c r="G18" s="5"/>
    </row>
    <row r="19" spans="1:7" x14ac:dyDescent="0.2">
      <c r="A19" s="14" t="s">
        <v>28</v>
      </c>
      <c r="B19" s="17">
        <v>3839</v>
      </c>
      <c r="C19" s="17">
        <v>3603</v>
      </c>
      <c r="D19" s="17">
        <v>4235</v>
      </c>
      <c r="E19" s="17">
        <v>4250</v>
      </c>
      <c r="F19" s="17">
        <v>4853</v>
      </c>
      <c r="G19" s="17">
        <v>5354</v>
      </c>
    </row>
    <row r="20" spans="1:7" x14ac:dyDescent="0.2">
      <c r="A20" s="32" t="s">
        <v>29</v>
      </c>
      <c r="B20" s="33">
        <v>6.6085000000000005E-2</v>
      </c>
      <c r="C20" s="33">
        <v>6.2240999999999998E-2</v>
      </c>
      <c r="D20" s="33">
        <v>6.9036E-2</v>
      </c>
      <c r="E20" s="33">
        <v>6.5061999999999995E-2</v>
      </c>
      <c r="F20" s="33">
        <v>7.1170999999999998E-2</v>
      </c>
      <c r="G20" s="33">
        <v>7.6577000000000006E-2</v>
      </c>
    </row>
    <row r="21" spans="1:7" x14ac:dyDescent="0.2">
      <c r="A21" s="5"/>
      <c r="B21" s="5"/>
      <c r="C21" s="5"/>
      <c r="D21" s="5"/>
      <c r="E21" s="5"/>
      <c r="F21" s="5"/>
      <c r="G21" s="5"/>
    </row>
    <row r="22" spans="1:7" x14ac:dyDescent="0.2">
      <c r="A22" s="14" t="s">
        <v>30</v>
      </c>
      <c r="B22" s="17">
        <v>3865</v>
      </c>
      <c r="C22" s="17">
        <v>2774</v>
      </c>
      <c r="D22" s="17">
        <v>3842</v>
      </c>
      <c r="E22" s="17">
        <v>3722</v>
      </c>
      <c r="F22" s="17">
        <v>3970</v>
      </c>
      <c r="G22" s="17">
        <v>4224</v>
      </c>
    </row>
    <row r="23" spans="1:7" x14ac:dyDescent="0.2">
      <c r="A23" s="32" t="s">
        <v>29</v>
      </c>
      <c r="B23" s="33">
        <v>6.6532999999999995E-2</v>
      </c>
      <c r="C23" s="33">
        <v>4.7919999999999997E-2</v>
      </c>
      <c r="D23" s="33">
        <v>6.2630000000000005E-2</v>
      </c>
      <c r="E23" s="33">
        <v>5.6979000000000002E-2</v>
      </c>
      <c r="F23" s="33">
        <v>5.8222000000000003E-2</v>
      </c>
      <c r="G23" s="33">
        <v>6.0415000000000003E-2</v>
      </c>
    </row>
    <row r="24" spans="1:7" x14ac:dyDescent="0.2">
      <c r="A24" s="5"/>
      <c r="B24" s="5"/>
      <c r="C24" s="5"/>
      <c r="D24" s="5"/>
      <c r="E24" s="5"/>
      <c r="F24" s="5"/>
      <c r="G24" s="5"/>
    </row>
    <row r="25" spans="1:7" x14ac:dyDescent="0.2">
      <c r="A25" s="14" t="s">
        <v>31</v>
      </c>
      <c r="B25" s="17">
        <v>2627</v>
      </c>
      <c r="C25" s="17">
        <v>1789</v>
      </c>
      <c r="D25" s="17">
        <v>2870</v>
      </c>
      <c r="E25" s="17">
        <v>2595</v>
      </c>
      <c r="F25" s="17">
        <v>2819</v>
      </c>
      <c r="G25" s="17">
        <v>2999</v>
      </c>
    </row>
    <row r="26" spans="1:7" x14ac:dyDescent="0.2">
      <c r="A26" s="32" t="s">
        <v>29</v>
      </c>
      <c r="B26" s="33">
        <v>4.5221999999999998E-2</v>
      </c>
      <c r="C26" s="33">
        <v>3.0904999999999998E-2</v>
      </c>
      <c r="D26" s="33">
        <v>4.6785E-2</v>
      </c>
      <c r="E26" s="33">
        <v>3.9725999999999997E-2</v>
      </c>
      <c r="F26" s="33">
        <v>4.1341999999999997E-2</v>
      </c>
      <c r="G26" s="33">
        <v>4.2894000000000002E-2</v>
      </c>
    </row>
    <row r="27" spans="1:7" x14ac:dyDescent="0.2">
      <c r="A27" s="5"/>
      <c r="B27" s="5"/>
      <c r="C27" s="5"/>
      <c r="D27" s="5"/>
      <c r="E27" s="5"/>
      <c r="F27" s="5"/>
      <c r="G27" s="5"/>
    </row>
    <row r="28" spans="1:7" x14ac:dyDescent="0.2">
      <c r="A28" s="14" t="s">
        <v>32</v>
      </c>
      <c r="B28" s="17">
        <v>738</v>
      </c>
      <c r="C28" s="17">
        <v>532</v>
      </c>
      <c r="D28" s="17">
        <v>1523</v>
      </c>
      <c r="E28" s="17">
        <v>658</v>
      </c>
      <c r="F28" s="17">
        <v>1764</v>
      </c>
      <c r="G28" s="17">
        <v>1604</v>
      </c>
    </row>
    <row r="29" spans="1:7" x14ac:dyDescent="0.2">
      <c r="A29" s="32" t="s">
        <v>29</v>
      </c>
      <c r="B29" s="33">
        <v>1.2704E-2</v>
      </c>
      <c r="C29" s="33">
        <v>9.1900000000000003E-3</v>
      </c>
      <c r="D29" s="33">
        <v>2.4826999999999998E-2</v>
      </c>
      <c r="E29" s="33">
        <v>1.0073E-2</v>
      </c>
      <c r="F29" s="33">
        <v>2.5870000000000001E-2</v>
      </c>
      <c r="G29" s="33">
        <v>2.2941E-2</v>
      </c>
    </row>
    <row r="30" spans="1:7" x14ac:dyDescent="0.2">
      <c r="A30" s="5"/>
      <c r="B30" s="5"/>
      <c r="C30" s="5"/>
      <c r="D30" s="5"/>
      <c r="E30" s="5"/>
      <c r="F30" s="5"/>
      <c r="G30" s="5"/>
    </row>
    <row r="31" spans="1:7" x14ac:dyDescent="0.2">
      <c r="A31" s="14" t="s">
        <v>33</v>
      </c>
      <c r="B31" s="17">
        <v>971</v>
      </c>
      <c r="C31" s="17">
        <v>5954</v>
      </c>
      <c r="D31" s="17">
        <v>1481</v>
      </c>
      <c r="E31" s="17">
        <v>737</v>
      </c>
      <c r="F31" s="17">
        <v>1188</v>
      </c>
      <c r="G31" s="17">
        <v>1626</v>
      </c>
    </row>
    <row r="32" spans="1:7" x14ac:dyDescent="0.2">
      <c r="A32" s="32" t="s">
        <v>29</v>
      </c>
      <c r="B32" s="33">
        <v>1.6715000000000001E-2</v>
      </c>
      <c r="C32" s="33">
        <v>0.102855</v>
      </c>
      <c r="D32" s="33">
        <v>2.4142E-2</v>
      </c>
      <c r="E32" s="33">
        <v>1.1282E-2</v>
      </c>
      <c r="F32" s="33">
        <v>1.7422E-2</v>
      </c>
      <c r="G32" s="33">
        <v>2.3255999999999999E-2</v>
      </c>
    </row>
    <row r="33" spans="1:254" x14ac:dyDescent="0.2">
      <c r="A33" s="5"/>
      <c r="B33" s="5"/>
      <c r="C33" s="5"/>
      <c r="D33" s="5"/>
      <c r="E33" s="5"/>
      <c r="F33" s="5"/>
      <c r="G33" s="5"/>
    </row>
    <row r="34" spans="1:254" x14ac:dyDescent="0.2">
      <c r="A34" s="14" t="s">
        <v>34</v>
      </c>
      <c r="B34" s="34">
        <v>9.5372999999999999E-2</v>
      </c>
      <c r="C34" s="34">
        <v>6.9221000000000005E-2</v>
      </c>
      <c r="D34" s="34">
        <v>0.19639999999999999</v>
      </c>
      <c r="E34" s="34">
        <v>8.8099999999999998E-2</v>
      </c>
      <c r="F34" s="34">
        <v>0.24529999999999999</v>
      </c>
      <c r="G34" s="34">
        <v>0.23130000000000001</v>
      </c>
    </row>
    <row r="35" spans="1:254" x14ac:dyDescent="0.2">
      <c r="A35" s="32" t="s">
        <v>26</v>
      </c>
      <c r="B35" s="33">
        <v>-0.422682</v>
      </c>
      <c r="C35" s="33">
        <v>-0.27420800000000001</v>
      </c>
      <c r="D35" s="33">
        <v>1.8372889999999999</v>
      </c>
      <c r="E35" s="33">
        <v>-0.55142599999999997</v>
      </c>
      <c r="F35" s="33">
        <v>1.784335</v>
      </c>
      <c r="G35" s="33">
        <v>-5.7072999999999999E-2</v>
      </c>
    </row>
    <row r="36" spans="1:254" x14ac:dyDescent="0.2">
      <c r="A36" s="5"/>
      <c r="B36" s="5"/>
      <c r="C36" s="5"/>
      <c r="D36" s="5"/>
      <c r="E36" s="5"/>
      <c r="F36" s="5"/>
      <c r="G36" s="5"/>
    </row>
    <row r="37" spans="1:254" ht="17" x14ac:dyDescent="0.2">
      <c r="A37" s="14" t="s">
        <v>36</v>
      </c>
      <c r="B37" s="35" t="s">
        <v>27</v>
      </c>
      <c r="C37" s="35" t="s">
        <v>27</v>
      </c>
      <c r="D37" s="35" t="s">
        <v>27</v>
      </c>
      <c r="E37" s="35" t="s">
        <v>27</v>
      </c>
      <c r="F37" s="35" t="s">
        <v>27</v>
      </c>
      <c r="G37" s="35" t="s">
        <v>27</v>
      </c>
    </row>
    <row r="38" spans="1:254" x14ac:dyDescent="0.2">
      <c r="A38" s="5"/>
      <c r="B38" s="5" t="s">
        <v>37</v>
      </c>
      <c r="C38" s="5" t="s">
        <v>37</v>
      </c>
      <c r="D38" s="5" t="s">
        <v>37</v>
      </c>
      <c r="E38" s="5" t="s">
        <v>37</v>
      </c>
      <c r="F38" s="5" t="s">
        <v>37</v>
      </c>
      <c r="G38" s="5" t="s">
        <v>37</v>
      </c>
    </row>
    <row r="39" spans="1:254" ht="17" x14ac:dyDescent="0.2">
      <c r="A39" s="5" t="s">
        <v>23</v>
      </c>
      <c r="B39" s="23" t="s">
        <v>24</v>
      </c>
      <c r="C39" s="23" t="s">
        <v>24</v>
      </c>
      <c r="D39" s="23" t="s">
        <v>24</v>
      </c>
      <c r="E39" s="23" t="s">
        <v>24</v>
      </c>
      <c r="F39" s="23" t="s">
        <v>24</v>
      </c>
      <c r="G39" s="23" t="s">
        <v>24</v>
      </c>
    </row>
    <row r="40" spans="1:254" x14ac:dyDescent="0.2">
      <c r="A40" s="5" t="s">
        <v>38</v>
      </c>
      <c r="B40" s="15">
        <v>1</v>
      </c>
      <c r="C40" s="15">
        <v>1</v>
      </c>
      <c r="D40" s="15">
        <v>1</v>
      </c>
      <c r="E40" s="15">
        <v>1</v>
      </c>
      <c r="F40" s="15">
        <v>1</v>
      </c>
      <c r="G40" s="15">
        <v>1</v>
      </c>
    </row>
    <row r="41" spans="1:254" ht="17" x14ac:dyDescent="0.2">
      <c r="A41" s="5" t="s">
        <v>39</v>
      </c>
      <c r="B41" s="23" t="s">
        <v>40</v>
      </c>
      <c r="C41" s="23" t="s">
        <v>40</v>
      </c>
      <c r="D41" s="23" t="s">
        <v>40</v>
      </c>
      <c r="E41" s="23" t="s">
        <v>40</v>
      </c>
      <c r="F41" s="23" t="s">
        <v>40</v>
      </c>
      <c r="G41" s="23" t="s">
        <v>40</v>
      </c>
    </row>
    <row r="42" spans="1:254" x14ac:dyDescent="0.2">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row>
    <row r="43" spans="1:254" x14ac:dyDescent="0.2">
      <c r="A43" s="2" t="s">
        <v>41</v>
      </c>
    </row>
    <row r="44" spans="1:254" x14ac:dyDescent="0.2">
      <c r="A44" s="2" t="s">
        <v>42</v>
      </c>
    </row>
    <row r="45" spans="1:254" x14ac:dyDescent="0.2">
      <c r="A45" s="2" t="s">
        <v>43</v>
      </c>
    </row>
    <row r="46" spans="1:254" x14ac:dyDescent="0.2">
      <c r="A46" s="2" t="s">
        <v>44</v>
      </c>
    </row>
    <row r="48" spans="1:254" x14ac:dyDescent="0.2">
      <c r="A48" s="44" t="s">
        <v>45</v>
      </c>
      <c r="B48" s="44"/>
      <c r="AM48" s="45"/>
      <c r="AN48" s="45"/>
      <c r="AO48" s="45"/>
      <c r="AP48" s="45"/>
      <c r="AQ48" s="45"/>
      <c r="AR48" s="45"/>
      <c r="AS48" s="45"/>
      <c r="AT48" s="45"/>
      <c r="AU48" s="45"/>
      <c r="AV48" s="45"/>
      <c r="AW48" s="45"/>
      <c r="AX48" s="45"/>
      <c r="AY48" s="45"/>
      <c r="AZ48" s="45"/>
      <c r="BA48" s="45"/>
      <c r="BB48" s="45"/>
      <c r="BC48" s="45"/>
      <c r="BD48" s="45"/>
      <c r="BE48" s="45"/>
      <c r="BF48" s="45"/>
      <c r="BG48" s="45"/>
      <c r="BH48" s="45"/>
      <c r="BI48" s="45"/>
      <c r="BJ48" s="45"/>
      <c r="BK48" s="45"/>
      <c r="BL48" s="45"/>
      <c r="BM48" s="45"/>
      <c r="BN48" s="45"/>
      <c r="BO48" s="45"/>
      <c r="BP48" s="45"/>
      <c r="BQ48" s="45"/>
      <c r="BR48" s="45"/>
      <c r="BS48" s="45"/>
      <c r="BT48" s="45"/>
      <c r="BU48" s="45"/>
      <c r="BV48" s="45"/>
      <c r="BW48" s="45"/>
      <c r="BX48" s="45"/>
      <c r="BY48" s="45"/>
      <c r="BZ48" s="45"/>
      <c r="CA48" s="45"/>
      <c r="CB48" s="45"/>
      <c r="CC48" s="45"/>
      <c r="CD48" s="45"/>
      <c r="CE48" s="45"/>
      <c r="CF48" s="45"/>
      <c r="CG48" s="45"/>
      <c r="CH48" s="45"/>
      <c r="CI48" s="45"/>
      <c r="CJ48" s="45"/>
      <c r="CK48" s="45"/>
      <c r="CL48" s="45"/>
      <c r="CM48" s="45"/>
      <c r="CN48" s="45"/>
      <c r="CO48" s="45"/>
      <c r="CP48" s="45"/>
      <c r="CQ48" s="45"/>
      <c r="CR48" s="45"/>
      <c r="CS48" s="45"/>
      <c r="CT48" s="45"/>
      <c r="CU48" s="45"/>
      <c r="CV48" s="45"/>
      <c r="CW48" s="45"/>
      <c r="CX48" s="45"/>
      <c r="CY48" s="45"/>
      <c r="CZ48" s="45"/>
      <c r="DA48" s="45"/>
      <c r="DB48" s="45"/>
      <c r="DC48" s="45"/>
      <c r="DD48" s="45"/>
      <c r="DE48" s="45"/>
      <c r="DF48" s="45"/>
      <c r="DG48" s="45"/>
      <c r="DH48" s="45"/>
      <c r="DI48" s="45"/>
      <c r="DJ48" s="45"/>
      <c r="DK48" s="45"/>
      <c r="DL48" s="45"/>
      <c r="DM48" s="45"/>
      <c r="DN48" s="45"/>
      <c r="DO48" s="45"/>
      <c r="DP48" s="45"/>
      <c r="DQ48" s="45"/>
      <c r="DR48" s="45"/>
      <c r="DS48" s="45"/>
      <c r="DT48" s="45"/>
      <c r="DU48" s="45"/>
      <c r="DV48" s="45"/>
      <c r="DW48" s="45"/>
      <c r="DX48" s="45"/>
      <c r="DY48" s="45"/>
      <c r="DZ48" s="45"/>
      <c r="EA48" s="45"/>
      <c r="EB48" s="45"/>
      <c r="EC48" s="45"/>
      <c r="ED48" s="45"/>
      <c r="EE48" s="45"/>
      <c r="EF48" s="45"/>
      <c r="EG48" s="45"/>
      <c r="EH48" s="45"/>
      <c r="EI48" s="45"/>
      <c r="EJ48" s="45"/>
      <c r="EK48" s="45"/>
      <c r="EL48" s="45"/>
      <c r="EM48" s="45"/>
      <c r="EN48" s="45"/>
      <c r="EO48" s="45"/>
      <c r="EP48" s="45"/>
      <c r="EQ48" s="45"/>
      <c r="ER48" s="45"/>
      <c r="ES48" s="45"/>
      <c r="ET48" s="45"/>
      <c r="EU48" s="45"/>
      <c r="EV48" s="45"/>
      <c r="EW48" s="45"/>
      <c r="EX48" s="45"/>
      <c r="EY48" s="45"/>
      <c r="EZ48" s="45"/>
      <c r="FA48" s="45"/>
      <c r="FB48" s="45"/>
      <c r="FC48" s="45"/>
      <c r="FD48" s="45"/>
      <c r="FE48" s="45"/>
      <c r="FF48" s="45"/>
      <c r="FG48" s="45"/>
      <c r="FH48" s="45"/>
      <c r="FI48" s="45"/>
      <c r="FJ48" s="45"/>
      <c r="FK48" s="45"/>
      <c r="FL48" s="45"/>
      <c r="FM48" s="45"/>
      <c r="FN48" s="45"/>
      <c r="FO48" s="45"/>
      <c r="FP48" s="45"/>
      <c r="FQ48" s="45"/>
      <c r="FR48" s="45"/>
      <c r="FS48" s="45"/>
      <c r="FT48" s="45"/>
      <c r="FU48" s="45"/>
      <c r="FV48" s="45"/>
      <c r="FW48" s="45"/>
      <c r="FX48" s="45"/>
      <c r="FY48" s="45"/>
      <c r="FZ48" s="45"/>
      <c r="GA48" s="45"/>
      <c r="GB48" s="45"/>
      <c r="GC48" s="45"/>
      <c r="GD48" s="45"/>
      <c r="GE48" s="45"/>
      <c r="GF48" s="45"/>
      <c r="GG48" s="45"/>
      <c r="GH48" s="45"/>
      <c r="GI48" s="45"/>
      <c r="GJ48" s="45"/>
      <c r="GK48" s="45"/>
      <c r="GL48" s="45"/>
      <c r="GM48" s="45"/>
      <c r="GN48" s="45"/>
      <c r="GO48" s="45"/>
      <c r="GP48" s="45"/>
      <c r="GQ48" s="45"/>
      <c r="GR48" s="45"/>
      <c r="GS48" s="45"/>
      <c r="GT48" s="45"/>
      <c r="GU48" s="45"/>
      <c r="GV48" s="45"/>
      <c r="GW48" s="45"/>
      <c r="GX48" s="45"/>
      <c r="GY48" s="45"/>
      <c r="GZ48" s="45"/>
      <c r="HA48" s="45"/>
      <c r="HB48" s="45"/>
      <c r="HC48" s="45"/>
      <c r="HD48" s="45"/>
      <c r="HE48" s="45"/>
      <c r="HF48" s="45"/>
      <c r="HG48" s="45"/>
      <c r="HH48" s="45"/>
      <c r="HI48" s="45"/>
      <c r="HJ48" s="45"/>
      <c r="HK48" s="45"/>
      <c r="HL48" s="45"/>
      <c r="HM48" s="45"/>
      <c r="HN48" s="45"/>
      <c r="HO48" s="45"/>
      <c r="HP48" s="45"/>
      <c r="HQ48" s="45"/>
      <c r="HR48" s="45"/>
      <c r="HS48" s="45"/>
      <c r="HT48" s="45"/>
      <c r="HU48" s="45"/>
      <c r="HV48" s="45"/>
      <c r="HW48" s="45"/>
      <c r="HX48" s="45"/>
      <c r="HY48" s="45"/>
      <c r="HZ48" s="45"/>
      <c r="IA48" s="45"/>
      <c r="IB48" s="45"/>
      <c r="IC48" s="45"/>
      <c r="ID48" s="45"/>
      <c r="IE48" s="45"/>
      <c r="IF48" s="45"/>
      <c r="IG48" s="45"/>
      <c r="IH48" s="45"/>
      <c r="II48" s="45"/>
      <c r="IJ48" s="45"/>
      <c r="IK48" s="45"/>
      <c r="IL48" s="45"/>
      <c r="IM48" s="45"/>
      <c r="IN48" s="45"/>
      <c r="IO48" s="45"/>
      <c r="IP48" s="45"/>
      <c r="IQ48" s="45"/>
      <c r="IR48" s="45"/>
      <c r="IS48" s="45"/>
      <c r="IT48" s="45"/>
    </row>
    <row r="49" spans="1:2" ht="17" x14ac:dyDescent="0.2">
      <c r="A49" s="36" t="s">
        <v>23</v>
      </c>
      <c r="B49" s="37" t="s">
        <v>24</v>
      </c>
    </row>
    <row r="50" spans="1:2" x14ac:dyDescent="0.2">
      <c r="A50" s="5" t="s">
        <v>46</v>
      </c>
      <c r="B50" s="19">
        <v>4.008</v>
      </c>
    </row>
    <row r="51" spans="1:2" x14ac:dyDescent="0.2">
      <c r="A51" s="5" t="s">
        <v>47</v>
      </c>
      <c r="B51" s="15">
        <v>6568.121247</v>
      </c>
    </row>
    <row r="52" spans="1:2" x14ac:dyDescent="0.2">
      <c r="A52" s="5"/>
      <c r="B52" s="5"/>
    </row>
    <row r="53" spans="1:2" x14ac:dyDescent="0.2">
      <c r="A53" s="14" t="s">
        <v>48</v>
      </c>
      <c r="B53" s="17">
        <v>26325.029956999999</v>
      </c>
    </row>
    <row r="54" spans="1:2" x14ac:dyDescent="0.2">
      <c r="A54" s="5" t="s">
        <v>49</v>
      </c>
      <c r="B54" s="15">
        <v>4629</v>
      </c>
    </row>
    <row r="55" spans="1:2" x14ac:dyDescent="0.2">
      <c r="A55" s="5" t="s">
        <v>50</v>
      </c>
      <c r="B55" s="15">
        <v>14666</v>
      </c>
    </row>
    <row r="56" spans="1:2" ht="17" x14ac:dyDescent="0.2">
      <c r="A56" s="5" t="s">
        <v>51</v>
      </c>
      <c r="B56" s="15" t="s">
        <v>52</v>
      </c>
    </row>
    <row r="57" spans="1:2" x14ac:dyDescent="0.2">
      <c r="A57" s="5" t="s">
        <v>53</v>
      </c>
      <c r="B57" s="15">
        <v>-4</v>
      </c>
    </row>
    <row r="58" spans="1:2" ht="17" x14ac:dyDescent="0.2">
      <c r="A58" s="5" t="s">
        <v>54</v>
      </c>
      <c r="B58" s="15" t="s">
        <v>52</v>
      </c>
    </row>
    <row r="59" spans="1:2" x14ac:dyDescent="0.2">
      <c r="A59" s="14" t="s">
        <v>55</v>
      </c>
      <c r="B59" s="17">
        <v>36358.029956999999</v>
      </c>
    </row>
    <row r="60" spans="1:2" x14ac:dyDescent="0.2">
      <c r="A60" s="5"/>
      <c r="B60" s="5"/>
    </row>
    <row r="61" spans="1:2" x14ac:dyDescent="0.2">
      <c r="A61" s="5" t="s">
        <v>56</v>
      </c>
      <c r="B61" s="15">
        <v>11666</v>
      </c>
    </row>
    <row r="62" spans="1:2" ht="17" x14ac:dyDescent="0.2">
      <c r="A62" s="5" t="s">
        <v>51</v>
      </c>
      <c r="B62" s="15" t="s">
        <v>52</v>
      </c>
    </row>
    <row r="63" spans="1:2" x14ac:dyDescent="0.2">
      <c r="A63" s="5" t="s">
        <v>53</v>
      </c>
      <c r="B63" s="15">
        <v>-4</v>
      </c>
    </row>
    <row r="64" spans="1:2" x14ac:dyDescent="0.2">
      <c r="A64" s="5" t="s">
        <v>50</v>
      </c>
      <c r="B64" s="15">
        <v>14666</v>
      </c>
    </row>
    <row r="65" spans="1:254" x14ac:dyDescent="0.2">
      <c r="A65" s="14" t="s">
        <v>57</v>
      </c>
      <c r="B65" s="17">
        <v>26328</v>
      </c>
    </row>
    <row r="66" spans="1:254" x14ac:dyDescent="0.2">
      <c r="A66" s="5"/>
      <c r="B66" s="5"/>
    </row>
    <row r="67" spans="1:254" ht="153" x14ac:dyDescent="0.2">
      <c r="A67" s="25" t="s">
        <v>58</v>
      </c>
      <c r="B67" s="25"/>
    </row>
    <row r="69" spans="1:254" ht="200" customHeight="1" x14ac:dyDescent="0.2">
      <c r="A69" s="38"/>
    </row>
    <row r="71" spans="1:254" x14ac:dyDescent="0.2">
      <c r="A71" s="2" t="s">
        <v>59</v>
      </c>
    </row>
    <row r="72" spans="1:254" x14ac:dyDescent="0.2">
      <c r="A72" s="2" t="s">
        <v>60</v>
      </c>
    </row>
    <row r="73" spans="1:254" x14ac:dyDescent="0.2">
      <c r="A73" s="2" t="s">
        <v>61</v>
      </c>
    </row>
    <row r="74" spans="1:254" x14ac:dyDescent="0.2">
      <c r="A74" s="2" t="s">
        <v>62</v>
      </c>
    </row>
    <row r="76" spans="1:254" x14ac:dyDescent="0.2">
      <c r="A76" s="44" t="s">
        <v>63</v>
      </c>
      <c r="B76" s="44"/>
      <c r="C76" s="44"/>
      <c r="D76" s="44"/>
      <c r="E76" s="44"/>
      <c r="F76" s="44"/>
      <c r="AM76" s="45"/>
      <c r="AN76" s="45"/>
      <c r="AO76" s="45"/>
      <c r="AP76" s="45"/>
      <c r="AQ76" s="45"/>
      <c r="AR76" s="45"/>
      <c r="AS76" s="45"/>
      <c r="AT76" s="45"/>
      <c r="AU76" s="45"/>
      <c r="AV76" s="45"/>
      <c r="AW76" s="45"/>
      <c r="AX76" s="45"/>
      <c r="AY76" s="45"/>
      <c r="AZ76" s="45"/>
      <c r="BA76" s="45"/>
      <c r="BB76" s="45"/>
      <c r="BC76" s="45"/>
      <c r="BD76" s="45"/>
      <c r="BE76" s="45"/>
      <c r="BF76" s="45"/>
      <c r="BG76" s="45"/>
      <c r="BH76" s="45"/>
      <c r="BI76" s="45"/>
      <c r="BJ76" s="45"/>
      <c r="BK76" s="45"/>
      <c r="BL76" s="45"/>
      <c r="BM76" s="45"/>
      <c r="BN76" s="45"/>
      <c r="BO76" s="45"/>
      <c r="BP76" s="45"/>
      <c r="BQ76" s="45"/>
      <c r="BR76" s="45"/>
      <c r="BS76" s="45"/>
      <c r="BT76" s="45"/>
      <c r="BU76" s="45"/>
      <c r="BV76" s="45"/>
      <c r="BW76" s="45"/>
      <c r="BX76" s="45"/>
      <c r="BY76" s="45"/>
      <c r="BZ76" s="45"/>
      <c r="CA76" s="45"/>
      <c r="CB76" s="45"/>
      <c r="CC76" s="45"/>
      <c r="CD76" s="45"/>
      <c r="CE76" s="45"/>
      <c r="CF76" s="45"/>
      <c r="CG76" s="45"/>
      <c r="CH76" s="45"/>
      <c r="CI76" s="45"/>
      <c r="CJ76" s="45"/>
      <c r="CK76" s="45"/>
      <c r="CL76" s="45"/>
      <c r="CM76" s="45"/>
      <c r="CN76" s="45"/>
      <c r="CO76" s="45"/>
      <c r="CP76" s="45"/>
      <c r="CQ76" s="45"/>
      <c r="CR76" s="45"/>
      <c r="CS76" s="45"/>
      <c r="CT76" s="45"/>
      <c r="CU76" s="45"/>
      <c r="CV76" s="45"/>
      <c r="CW76" s="45"/>
      <c r="CX76" s="45"/>
      <c r="CY76" s="45"/>
      <c r="CZ76" s="45"/>
      <c r="DA76" s="45"/>
      <c r="DB76" s="45"/>
      <c r="DC76" s="45"/>
      <c r="DD76" s="45"/>
      <c r="DE76" s="45"/>
      <c r="DF76" s="45"/>
      <c r="DG76" s="45"/>
      <c r="DH76" s="45"/>
      <c r="DI76" s="45"/>
      <c r="DJ76" s="45"/>
      <c r="DK76" s="45"/>
      <c r="DL76" s="45"/>
      <c r="DM76" s="45"/>
      <c r="DN76" s="45"/>
      <c r="DO76" s="45"/>
      <c r="DP76" s="45"/>
      <c r="DQ76" s="45"/>
      <c r="DR76" s="45"/>
      <c r="DS76" s="45"/>
      <c r="DT76" s="45"/>
      <c r="DU76" s="45"/>
      <c r="DV76" s="45"/>
      <c r="DW76" s="45"/>
      <c r="DX76" s="45"/>
      <c r="DY76" s="45"/>
      <c r="DZ76" s="45"/>
      <c r="EA76" s="45"/>
      <c r="EB76" s="45"/>
      <c r="EC76" s="45"/>
      <c r="ED76" s="45"/>
      <c r="EE76" s="45"/>
      <c r="EF76" s="45"/>
      <c r="EG76" s="45"/>
      <c r="EH76" s="45"/>
      <c r="EI76" s="45"/>
      <c r="EJ76" s="45"/>
      <c r="EK76" s="45"/>
      <c r="EL76" s="45"/>
      <c r="EM76" s="45"/>
      <c r="EN76" s="45"/>
      <c r="EO76" s="45"/>
      <c r="EP76" s="45"/>
      <c r="EQ76" s="45"/>
      <c r="ER76" s="45"/>
      <c r="ES76" s="45"/>
      <c r="ET76" s="45"/>
      <c r="EU76" s="45"/>
      <c r="EV76" s="45"/>
      <c r="EW76" s="45"/>
      <c r="EX76" s="45"/>
      <c r="EY76" s="45"/>
      <c r="EZ76" s="45"/>
      <c r="FA76" s="45"/>
      <c r="FB76" s="45"/>
      <c r="FC76" s="45"/>
      <c r="FD76" s="45"/>
      <c r="FE76" s="45"/>
      <c r="FF76" s="45"/>
      <c r="FG76" s="45"/>
      <c r="FH76" s="45"/>
      <c r="FI76" s="45"/>
      <c r="FJ76" s="45"/>
      <c r="FK76" s="45"/>
      <c r="FL76" s="45"/>
      <c r="FM76" s="45"/>
      <c r="FN76" s="45"/>
      <c r="FO76" s="45"/>
      <c r="FP76" s="45"/>
      <c r="FQ76" s="45"/>
      <c r="FR76" s="45"/>
      <c r="FS76" s="45"/>
      <c r="FT76" s="45"/>
      <c r="FU76" s="45"/>
      <c r="FV76" s="45"/>
      <c r="FW76" s="45"/>
      <c r="FX76" s="45"/>
      <c r="FY76" s="45"/>
      <c r="FZ76" s="45"/>
      <c r="GA76" s="45"/>
      <c r="GB76" s="45"/>
      <c r="GC76" s="45"/>
      <c r="GD76" s="45"/>
      <c r="GE76" s="45"/>
      <c r="GF76" s="45"/>
      <c r="GG76" s="45"/>
      <c r="GH76" s="45"/>
      <c r="GI76" s="45"/>
      <c r="GJ76" s="45"/>
      <c r="GK76" s="45"/>
      <c r="GL76" s="45"/>
      <c r="GM76" s="45"/>
      <c r="GN76" s="45"/>
      <c r="GO76" s="45"/>
      <c r="GP76" s="45"/>
      <c r="GQ76" s="45"/>
      <c r="GR76" s="45"/>
      <c r="GS76" s="45"/>
      <c r="GT76" s="45"/>
      <c r="GU76" s="45"/>
      <c r="GV76" s="45"/>
      <c r="GW76" s="45"/>
      <c r="GX76" s="45"/>
      <c r="GY76" s="45"/>
      <c r="GZ76" s="45"/>
      <c r="HA76" s="45"/>
      <c r="HB76" s="45"/>
      <c r="HC76" s="45"/>
      <c r="HD76" s="45"/>
      <c r="HE76" s="45"/>
      <c r="HF76" s="45"/>
      <c r="HG76" s="45"/>
      <c r="HH76" s="45"/>
      <c r="HI76" s="45"/>
      <c r="HJ76" s="45"/>
      <c r="HK76" s="45"/>
      <c r="HL76" s="45"/>
      <c r="HM76" s="45"/>
      <c r="HN76" s="45"/>
      <c r="HO76" s="45"/>
      <c r="HP76" s="45"/>
      <c r="HQ76" s="45"/>
      <c r="HR76" s="45"/>
      <c r="HS76" s="45"/>
      <c r="HT76" s="45"/>
      <c r="HU76" s="45"/>
      <c r="HV76" s="45"/>
      <c r="HW76" s="45"/>
      <c r="HX76" s="45"/>
      <c r="HY76" s="45"/>
      <c r="HZ76" s="45"/>
      <c r="IA76" s="45"/>
      <c r="IB76" s="45"/>
      <c r="IC76" s="45"/>
      <c r="ID76" s="45"/>
      <c r="IE76" s="45"/>
      <c r="IF76" s="45"/>
      <c r="IG76" s="45"/>
      <c r="IH76" s="45"/>
      <c r="II76" s="45"/>
      <c r="IJ76" s="45"/>
      <c r="IK76" s="45"/>
      <c r="IL76" s="45"/>
      <c r="IM76" s="45"/>
      <c r="IN76" s="45"/>
      <c r="IO76" s="45"/>
      <c r="IP76" s="45"/>
      <c r="IQ76" s="45"/>
      <c r="IR76" s="45"/>
      <c r="IS76" s="45"/>
      <c r="IT76" s="45"/>
    </row>
    <row r="77" spans="1:254" ht="34" x14ac:dyDescent="0.2">
      <c r="A77" s="39" t="s">
        <v>16</v>
      </c>
      <c r="B77" s="40" t="s">
        <v>21</v>
      </c>
      <c r="C77" s="40" t="s">
        <v>22</v>
      </c>
      <c r="D77" s="40" t="s">
        <v>64</v>
      </c>
      <c r="E77" s="40" t="s">
        <v>65</v>
      </c>
      <c r="F77" s="40" t="s">
        <v>66</v>
      </c>
    </row>
    <row r="78" spans="1:254" x14ac:dyDescent="0.2">
      <c r="A78" s="14" t="s">
        <v>67</v>
      </c>
      <c r="B78" s="41">
        <v>0.53320999999999996</v>
      </c>
      <c r="C78" s="41">
        <v>0.52002400000000004</v>
      </c>
      <c r="D78" s="42">
        <v>0.50373536936800001</v>
      </c>
      <c r="E78" s="42">
        <v>0.490443476795</v>
      </c>
      <c r="F78" s="42">
        <v>0.47883809356200002</v>
      </c>
    </row>
    <row r="79" spans="1:254" x14ac:dyDescent="0.2">
      <c r="A79" s="5"/>
      <c r="B79" s="5"/>
      <c r="C79" s="5"/>
      <c r="D79" s="5"/>
      <c r="E79" s="5"/>
      <c r="F79" s="5"/>
    </row>
    <row r="80" spans="1:254" x14ac:dyDescent="0.2">
      <c r="A80" s="14" t="s">
        <v>68</v>
      </c>
      <c r="B80" s="41">
        <v>8.0455909999999999</v>
      </c>
      <c r="C80" s="41">
        <v>7.6222279999999998</v>
      </c>
      <c r="D80" s="42">
        <v>7.6479870352899999</v>
      </c>
      <c r="E80" s="42">
        <v>7.3546561217789996</v>
      </c>
      <c r="F80" s="42">
        <v>7.085179059733</v>
      </c>
    </row>
    <row r="81" spans="1:6" x14ac:dyDescent="0.2">
      <c r="A81" s="5"/>
      <c r="B81" s="5"/>
      <c r="C81" s="5"/>
      <c r="D81" s="5"/>
      <c r="E81" s="5"/>
      <c r="F81" s="5"/>
    </row>
    <row r="82" spans="1:6" x14ac:dyDescent="0.2">
      <c r="A82" s="14" t="s">
        <v>69</v>
      </c>
      <c r="B82" s="41">
        <v>12.870099</v>
      </c>
      <c r="C82" s="41">
        <v>12.139575000000001</v>
      </c>
      <c r="D82" s="42">
        <v>12.333164376778999</v>
      </c>
      <c r="E82" s="42">
        <v>11.561002139061999</v>
      </c>
      <c r="F82" s="42">
        <v>11.084837823259999</v>
      </c>
    </row>
    <row r="83" spans="1:6" x14ac:dyDescent="0.2">
      <c r="A83" s="5"/>
      <c r="B83" s="5"/>
      <c r="C83" s="5"/>
      <c r="D83" s="5"/>
      <c r="E83" s="5"/>
      <c r="F83" s="5"/>
    </row>
    <row r="84" spans="1:6" x14ac:dyDescent="0.2">
      <c r="A84" s="14" t="s">
        <v>70</v>
      </c>
      <c r="B84" s="41">
        <v>16.339175999999998</v>
      </c>
      <c r="C84" s="41">
        <v>17.328144999999999</v>
      </c>
      <c r="D84" s="42">
        <v>14.840596882290001</v>
      </c>
      <c r="E84" s="42">
        <v>13.471816073409</v>
      </c>
      <c r="F84" s="42">
        <v>12.331928248362001</v>
      </c>
    </row>
    <row r="85" spans="1:6" x14ac:dyDescent="0.2">
      <c r="A85" s="5"/>
      <c r="B85" s="5"/>
      <c r="C85" s="5"/>
      <c r="D85" s="5"/>
      <c r="E85" s="5"/>
      <c r="F85" s="5"/>
    </row>
    <row r="86" spans="1:6" x14ac:dyDescent="0.2">
      <c r="A86" s="14" t="s">
        <v>71</v>
      </c>
      <c r="B86" s="41">
        <v>2.3932380000000002</v>
      </c>
      <c r="C86" s="41">
        <v>2.3017799999999999</v>
      </c>
      <c r="D86" s="42">
        <v>2.409073696738</v>
      </c>
      <c r="E86" s="42">
        <v>2.3231685050689999</v>
      </c>
      <c r="F86" s="42">
        <v>2.2313028180779999</v>
      </c>
    </row>
    <row r="87" spans="1:6" x14ac:dyDescent="0.2">
      <c r="A87" s="5"/>
      <c r="B87" s="5"/>
      <c r="C87" s="5"/>
      <c r="D87" s="5"/>
      <c r="E87" s="5"/>
      <c r="F87" s="5"/>
    </row>
    <row r="88" spans="1:6" ht="17" x14ac:dyDescent="0.2">
      <c r="A88" s="14" t="s">
        <v>72</v>
      </c>
      <c r="B88" s="41">
        <v>4.2288379999999997</v>
      </c>
      <c r="C88" s="41">
        <v>4.0815570000000001</v>
      </c>
      <c r="D88" s="23" t="s">
        <v>52</v>
      </c>
      <c r="E88" s="23" t="s">
        <v>52</v>
      </c>
      <c r="F88" s="23" t="s">
        <v>52</v>
      </c>
    </row>
    <row r="89" spans="1:6" x14ac:dyDescent="0.2">
      <c r="A89" s="5"/>
      <c r="B89" s="5"/>
      <c r="C89" s="5"/>
      <c r="D89" s="5"/>
      <c r="E89" s="5"/>
      <c r="F89" s="5"/>
    </row>
    <row r="90" spans="1:6" x14ac:dyDescent="0.2">
      <c r="A90" s="25"/>
      <c r="B90" s="25"/>
      <c r="C90" s="25"/>
      <c r="D90" s="25"/>
      <c r="E90" s="25"/>
      <c r="F90" s="25"/>
    </row>
    <row r="91" spans="1:6" x14ac:dyDescent="0.2">
      <c r="A91" s="27" t="s">
        <v>73</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E639D-8AAC-6D48-A096-908F4F4A369A}">
  <dimension ref="A1:AO44"/>
  <sheetViews>
    <sheetView zoomScaleNormal="125" workbookViewId="0">
      <pane xSplit="1" topLeftCell="B1" activePane="topRight" state="frozen"/>
      <selection pane="topRight" activeCell="F16" sqref="F16"/>
    </sheetView>
  </sheetViews>
  <sheetFormatPr baseColWidth="10" defaultRowHeight="16" x14ac:dyDescent="0.2"/>
  <cols>
    <col min="1" max="1" width="38.33203125" style="71" bestFit="1" customWidth="1"/>
    <col min="2" max="12" width="11.5" style="71" customWidth="1"/>
    <col min="13" max="38" width="18.1640625" style="71" customWidth="1"/>
    <col min="39" max="39" width="10.83203125" style="71"/>
    <col min="40" max="41" width="16.1640625" style="71" customWidth="1"/>
    <col min="42" max="16384" width="10.83203125" style="71"/>
  </cols>
  <sheetData>
    <row r="1" spans="1:41" x14ac:dyDescent="0.2">
      <c r="A1" s="70" t="str">
        <f>Input!A1</f>
        <v>Borrower</v>
      </c>
      <c r="B1" s="70" t="str">
        <f>Input!B1</f>
        <v>Tesco PLC (LSE: TSCO)</v>
      </c>
    </row>
    <row r="2" spans="1:41" x14ac:dyDescent="0.2">
      <c r="A2" s="70" t="s">
        <v>717</v>
      </c>
    </row>
    <row r="4" spans="1:41" ht="17" thickBot="1" x14ac:dyDescent="0.25"/>
    <row r="5" spans="1:41" ht="17" thickBot="1" x14ac:dyDescent="0.25">
      <c r="B5" s="257" t="s">
        <v>6</v>
      </c>
      <c r="C5" s="258"/>
      <c r="D5" s="258"/>
      <c r="E5" s="258"/>
      <c r="F5" s="258"/>
      <c r="G5" s="259"/>
      <c r="I5" s="257" t="s">
        <v>790</v>
      </c>
      <c r="J5" s="258"/>
      <c r="K5" s="259"/>
      <c r="L5" s="91"/>
      <c r="M5" s="267" t="s">
        <v>741</v>
      </c>
      <c r="N5" s="267"/>
      <c r="AN5" s="266" t="s">
        <v>741</v>
      </c>
      <c r="AO5" s="266"/>
    </row>
    <row r="6" spans="1:41" ht="16" customHeight="1" x14ac:dyDescent="0.2">
      <c r="A6" s="70" t="s">
        <v>718</v>
      </c>
      <c r="B6" s="182">
        <f>Input!B8</f>
        <v>2020</v>
      </c>
      <c r="C6" s="182">
        <f>Input!C8</f>
        <v>2021</v>
      </c>
      <c r="D6" s="91">
        <f>Input!D8</f>
        <v>2022</v>
      </c>
      <c r="E6" s="182">
        <f>Input!E8</f>
        <v>2023</v>
      </c>
      <c r="F6" s="91">
        <f>Input!F8</f>
        <v>2024</v>
      </c>
      <c r="G6" s="91">
        <f>Input!G8</f>
        <v>2025</v>
      </c>
      <c r="H6" s="91" t="str">
        <f>Input!H8</f>
        <v>Pro-Forma</v>
      </c>
      <c r="I6" s="91">
        <f>Input!I8</f>
        <v>2026</v>
      </c>
      <c r="J6" s="91">
        <f>Input!J8</f>
        <v>2027</v>
      </c>
      <c r="K6" s="91">
        <f>Input!K8</f>
        <v>2028</v>
      </c>
      <c r="L6" s="91"/>
      <c r="M6" s="72" t="s">
        <v>742</v>
      </c>
      <c r="N6" s="72" t="s">
        <v>743</v>
      </c>
    </row>
    <row r="7" spans="1:41" x14ac:dyDescent="0.2">
      <c r="A7" s="73" t="str">
        <f>Input!A9</f>
        <v>Periods</v>
      </c>
      <c r="B7" s="74">
        <f>Input!B9</f>
        <v>12</v>
      </c>
      <c r="C7" s="74">
        <f>Input!C9</f>
        <v>12</v>
      </c>
      <c r="D7" s="74">
        <f>Input!D9</f>
        <v>12</v>
      </c>
      <c r="E7" s="74">
        <f>Input!E9</f>
        <v>12</v>
      </c>
      <c r="F7" s="74">
        <f>Input!F9</f>
        <v>12</v>
      </c>
      <c r="G7" s="74">
        <f>Input!G9</f>
        <v>12</v>
      </c>
    </row>
    <row r="8" spans="1:41" x14ac:dyDescent="0.2">
      <c r="A8" s="71" t="s">
        <v>719</v>
      </c>
      <c r="B8" s="75">
        <f>Input!B24</f>
        <v>13893</v>
      </c>
      <c r="C8" s="75">
        <f>Input!C24</f>
        <v>10807</v>
      </c>
      <c r="D8" s="75">
        <f>Input!D24</f>
        <v>12189</v>
      </c>
      <c r="E8" s="75">
        <f>Input!E24</f>
        <v>12469</v>
      </c>
      <c r="F8" s="75">
        <f>Input!F24</f>
        <v>16606</v>
      </c>
      <c r="G8" s="75">
        <f>Input!G24</f>
        <v>8856</v>
      </c>
      <c r="H8" s="75"/>
      <c r="I8" s="75">
        <f>Input!I24</f>
        <v>9995.1867745277923</v>
      </c>
      <c r="J8" s="75">
        <f>Input!J24</f>
        <v>10792.841382673805</v>
      </c>
      <c r="K8" s="75">
        <f>Input!K24</f>
        <v>11643.197996913634</v>
      </c>
      <c r="L8" s="75"/>
    </row>
    <row r="9" spans="1:41" x14ac:dyDescent="0.2">
      <c r="A9" s="71" t="s">
        <v>721</v>
      </c>
      <c r="B9" s="75">
        <f>-Input!B13</f>
        <v>-4137</v>
      </c>
      <c r="C9" s="75">
        <f>-Input!C13</f>
        <v>-2510</v>
      </c>
      <c r="D9" s="75">
        <f>-Input!D13</f>
        <v>-2345</v>
      </c>
      <c r="E9" s="75">
        <f>-Input!E13</f>
        <v>-2465</v>
      </c>
      <c r="F9" s="75">
        <f>-Input!F13</f>
        <v>-2340</v>
      </c>
      <c r="G9" s="75">
        <f>-Input!G13</f>
        <v>-2255</v>
      </c>
      <c r="H9" s="75"/>
      <c r="I9" s="75">
        <f>-Input!I13</f>
        <v>-2406</v>
      </c>
      <c r="J9" s="75">
        <f>-Input!J13</f>
        <v>-2679</v>
      </c>
      <c r="K9" s="75">
        <f>-Input!K13</f>
        <v>-2964</v>
      </c>
      <c r="L9" s="75"/>
    </row>
    <row r="10" spans="1:41" x14ac:dyDescent="0.2">
      <c r="A10" s="84" t="s">
        <v>720</v>
      </c>
      <c r="B10" s="85">
        <f>SUM(B8:B9)</f>
        <v>9756</v>
      </c>
      <c r="C10" s="85">
        <f>SUM(C8:C9)</f>
        <v>8297</v>
      </c>
      <c r="D10" s="85">
        <f t="shared" ref="D10" si="0">SUM(D8:D9)</f>
        <v>9844</v>
      </c>
      <c r="E10" s="85">
        <f t="shared" ref="E10" si="1">SUM(E8:E9)</f>
        <v>10004</v>
      </c>
      <c r="F10" s="85">
        <f t="shared" ref="F10" si="2">SUM(F8:F9)</f>
        <v>14266</v>
      </c>
      <c r="G10" s="85">
        <f t="shared" ref="G10:K10" si="3">SUM(G8:G9)</f>
        <v>6601</v>
      </c>
      <c r="H10" s="85"/>
      <c r="I10" s="85">
        <f t="shared" si="3"/>
        <v>7589.1867745277923</v>
      </c>
      <c r="J10" s="85">
        <f t="shared" si="3"/>
        <v>8113.8413826738051</v>
      </c>
      <c r="K10" s="85">
        <f t="shared" si="3"/>
        <v>8679.1979969136337</v>
      </c>
      <c r="L10" s="75"/>
    </row>
    <row r="11" spans="1:41" x14ac:dyDescent="0.2">
      <c r="B11" s="75"/>
      <c r="C11" s="75"/>
      <c r="D11" s="75"/>
      <c r="E11" s="75"/>
      <c r="F11" s="75"/>
      <c r="G11" s="75"/>
      <c r="H11" s="75"/>
      <c r="I11" s="75"/>
      <c r="J11" s="75"/>
      <c r="K11" s="75"/>
      <c r="L11" s="75"/>
    </row>
    <row r="12" spans="1:41" x14ac:dyDescent="0.2">
      <c r="A12" s="71" t="s">
        <v>722</v>
      </c>
      <c r="B12" s="75">
        <f>Input!B51</f>
        <v>18656</v>
      </c>
      <c r="C12" s="75">
        <f>Input!C51</f>
        <v>15997</v>
      </c>
      <c r="D12" s="75">
        <f>Input!D51</f>
        <v>16139</v>
      </c>
      <c r="E12" s="75">
        <f>Input!E51</f>
        <v>17610</v>
      </c>
      <c r="F12" s="75">
        <f>Input!F51</f>
        <v>20472</v>
      </c>
      <c r="G12" s="75">
        <f>Input!G51</f>
        <v>13820</v>
      </c>
      <c r="H12" s="75"/>
      <c r="I12" s="75">
        <f>Input!I51</f>
        <v>35520.601869651364</v>
      </c>
      <c r="J12" s="75">
        <f>Input!J51</f>
        <v>36050.402364629655</v>
      </c>
      <c r="K12" s="75">
        <f>Input!K51</f>
        <v>36688.33312475284</v>
      </c>
      <c r="L12" s="75"/>
    </row>
    <row r="13" spans="1:41" x14ac:dyDescent="0.2">
      <c r="A13" s="71" t="s">
        <v>723</v>
      </c>
      <c r="B13" s="75">
        <f>-Input!B44</f>
        <v>-2817</v>
      </c>
      <c r="C13" s="75">
        <f>-Input!C44</f>
        <v>-1655</v>
      </c>
      <c r="D13" s="75">
        <f>-Input!D44</f>
        <v>-1272</v>
      </c>
      <c r="E13" s="75">
        <f>-Input!E44</f>
        <v>-2365</v>
      </c>
      <c r="F13" s="75">
        <f>-Input!F44</f>
        <v>-2120</v>
      </c>
      <c r="G13" s="75">
        <f>-Input!G44</f>
        <v>-2479</v>
      </c>
      <c r="H13" s="75"/>
      <c r="I13" s="75">
        <f>-Input!I44</f>
        <v>-22480.6</v>
      </c>
      <c r="J13" s="75">
        <f>-Input!J44</f>
        <v>-22397.599999999999</v>
      </c>
      <c r="K13" s="75">
        <f>-Input!K44</f>
        <v>-22391.599999999999</v>
      </c>
      <c r="L13" s="75"/>
    </row>
    <row r="14" spans="1:41" x14ac:dyDescent="0.2">
      <c r="A14" s="84" t="s">
        <v>724</v>
      </c>
      <c r="B14" s="85">
        <f>SUM(B12:B13)</f>
        <v>15839</v>
      </c>
      <c r="C14" s="85">
        <f t="shared" ref="C14:G14" si="4">SUM(C12:C13)</f>
        <v>14342</v>
      </c>
      <c r="D14" s="85">
        <f t="shared" si="4"/>
        <v>14867</v>
      </c>
      <c r="E14" s="85">
        <f t="shared" si="4"/>
        <v>15245</v>
      </c>
      <c r="F14" s="85">
        <f t="shared" si="4"/>
        <v>18352</v>
      </c>
      <c r="G14" s="85">
        <f t="shared" si="4"/>
        <v>11341</v>
      </c>
      <c r="H14" s="85"/>
      <c r="I14" s="85">
        <f t="shared" ref="I14:K14" si="5">SUM(I12:I13)</f>
        <v>13040.001869651365</v>
      </c>
      <c r="J14" s="85">
        <f t="shared" si="5"/>
        <v>13652.802364629657</v>
      </c>
      <c r="K14" s="85">
        <f t="shared" si="5"/>
        <v>14296.733124752842</v>
      </c>
      <c r="L14" s="75"/>
    </row>
    <row r="15" spans="1:41" x14ac:dyDescent="0.2">
      <c r="B15" s="75"/>
      <c r="C15" s="75"/>
      <c r="D15" s="75"/>
      <c r="E15" s="75"/>
      <c r="F15" s="75"/>
      <c r="G15" s="75"/>
      <c r="H15" s="75"/>
      <c r="I15" s="75"/>
      <c r="J15" s="75"/>
      <c r="K15" s="75"/>
      <c r="L15" s="75"/>
    </row>
    <row r="16" spans="1:41" x14ac:dyDescent="0.2">
      <c r="A16" s="92" t="s">
        <v>725</v>
      </c>
      <c r="B16" s="93">
        <f>B10-B14</f>
        <v>-6083</v>
      </c>
      <c r="C16" s="93">
        <f>C10-C14</f>
        <v>-6045</v>
      </c>
      <c r="D16" s="93">
        <f t="shared" ref="D16:G16" si="6">D10-D14</f>
        <v>-5023</v>
      </c>
      <c r="E16" s="93">
        <f t="shared" si="6"/>
        <v>-5241</v>
      </c>
      <c r="F16" s="93">
        <f t="shared" si="6"/>
        <v>-4086</v>
      </c>
      <c r="G16" s="93">
        <f t="shared" si="6"/>
        <v>-4740</v>
      </c>
      <c r="H16" s="93"/>
      <c r="I16" s="93">
        <f t="shared" ref="I16:K16" si="7">I10-I14</f>
        <v>-5450.815095123573</v>
      </c>
      <c r="J16" s="93">
        <f t="shared" si="7"/>
        <v>-5538.9609819558518</v>
      </c>
      <c r="K16" s="94">
        <f t="shared" si="7"/>
        <v>-5617.5351278392081</v>
      </c>
      <c r="L16" s="75"/>
      <c r="M16" s="75">
        <f>K16</f>
        <v>-5617.5351278392081</v>
      </c>
      <c r="N16" s="75">
        <f>K16</f>
        <v>-5617.5351278392081</v>
      </c>
    </row>
    <row r="17" spans="1:16" x14ac:dyDescent="0.2">
      <c r="A17" s="95" t="s">
        <v>640</v>
      </c>
      <c r="B17" s="75">
        <f>Input!B75</f>
        <v>58091</v>
      </c>
      <c r="C17" s="75">
        <f>Input!C75</f>
        <v>57887</v>
      </c>
      <c r="D17" s="75">
        <f>Input!D75</f>
        <v>61344</v>
      </c>
      <c r="E17" s="75">
        <f>Input!E75</f>
        <v>65322</v>
      </c>
      <c r="F17" s="75">
        <f>Input!F75</f>
        <v>68187</v>
      </c>
      <c r="G17" s="75">
        <f>Input!G75</f>
        <v>69916</v>
      </c>
      <c r="H17" s="75"/>
      <c r="I17" s="75">
        <f>Input!I75</f>
        <v>73467.732799999998</v>
      </c>
      <c r="J17" s="75">
        <f>Input!J75</f>
        <v>77199.893626239995</v>
      </c>
      <c r="K17" s="81">
        <f>Input!K75</f>
        <v>81121.64822245299</v>
      </c>
      <c r="L17" s="75"/>
      <c r="M17" s="75">
        <f>M16*MIN(B18:K18)</f>
        <v>588.24028132836247</v>
      </c>
      <c r="N17" s="75">
        <f>M16*MAX(B18:K18)</f>
        <v>336.62206186444638</v>
      </c>
    </row>
    <row r="18" spans="1:16" s="70" customFormat="1" x14ac:dyDescent="0.2">
      <c r="A18" s="96" t="s">
        <v>726</v>
      </c>
      <c r="B18" s="97">
        <f>B16/B17</f>
        <v>-0.10471501609543647</v>
      </c>
      <c r="C18" s="97">
        <f t="shared" ref="C18:G18" si="8">C16/C17</f>
        <v>-0.10442759168725275</v>
      </c>
      <c r="D18" s="97">
        <f t="shared" si="8"/>
        <v>-8.1882498695878977E-2</v>
      </c>
      <c r="E18" s="97">
        <f t="shared" si="8"/>
        <v>-8.0233305777532835E-2</v>
      </c>
      <c r="F18" s="97">
        <f t="shared" si="8"/>
        <v>-5.9923445818117822E-2</v>
      </c>
      <c r="G18" s="97">
        <f t="shared" si="8"/>
        <v>-6.7795640482865155E-2</v>
      </c>
      <c r="H18" s="97"/>
      <c r="I18" s="97">
        <f t="shared" ref="I18:K18" si="9">I16/I17</f>
        <v>-7.4193321168113863E-2</v>
      </c>
      <c r="J18" s="97">
        <f t="shared" si="9"/>
        <v>-7.1748298110001246E-2</v>
      </c>
      <c r="K18" s="98">
        <f t="shared" si="9"/>
        <v>-6.9248286381395005E-2</v>
      </c>
      <c r="L18" s="75"/>
      <c r="M18" s="100">
        <f>MIN(B18:K18)</f>
        <v>-0.10471501609543647</v>
      </c>
      <c r="N18" s="100">
        <f>MAX(B18:K18)</f>
        <v>-5.9923445818117822E-2</v>
      </c>
      <c r="P18" s="71" t="s">
        <v>744</v>
      </c>
    </row>
    <row r="19" spans="1:16" x14ac:dyDescent="0.2">
      <c r="A19" s="71" t="s">
        <v>727</v>
      </c>
      <c r="B19" s="99"/>
      <c r="C19" s="99">
        <f t="shared" ref="C19:G19" si="10">C17/B17-1</f>
        <v>-3.5117315935342397E-3</v>
      </c>
      <c r="D19" s="99">
        <f t="shared" si="10"/>
        <v>5.9719798918582701E-2</v>
      </c>
      <c r="E19" s="99">
        <f t="shared" si="10"/>
        <v>6.484741784037551E-2</v>
      </c>
      <c r="F19" s="99">
        <f t="shared" si="10"/>
        <v>4.3859649122806932E-2</v>
      </c>
      <c r="G19" s="99">
        <f t="shared" si="10"/>
        <v>2.5356739554460495E-2</v>
      </c>
      <c r="H19" s="99"/>
      <c r="I19" s="99">
        <f>I17/G17-1</f>
        <v>5.0799999999999956E-2</v>
      </c>
      <c r="J19" s="99">
        <f t="shared" ref="J19" si="11">J17/I17-1</f>
        <v>5.0799999999999956E-2</v>
      </c>
      <c r="K19" s="99">
        <f t="shared" ref="K19" si="12">K17/J17-1</f>
        <v>5.0799999999999956E-2</v>
      </c>
      <c r="L19" s="100"/>
      <c r="M19" s="99">
        <f>M17/K17-1</f>
        <v>-0.99274866457699085</v>
      </c>
      <c r="N19" s="99">
        <f>N17/K17-1</f>
        <v>-0.99585040406302694</v>
      </c>
    </row>
    <row r="20" spans="1:16" x14ac:dyDescent="0.2">
      <c r="L20" s="99"/>
    </row>
    <row r="21" spans="1:16" x14ac:dyDescent="0.2">
      <c r="A21" s="71" t="s">
        <v>728</v>
      </c>
      <c r="B21" s="75">
        <f>B17*MIN($B$18:$K$18)</f>
        <v>-6083</v>
      </c>
      <c r="C21" s="75">
        <f t="shared" ref="C21:K21" si="13">C17*MIN($B$18:$K$18)</f>
        <v>-6061.6381367165313</v>
      </c>
      <c r="D21" s="75">
        <f t="shared" si="13"/>
        <v>-6423.6379473584548</v>
      </c>
      <c r="E21" s="75">
        <f t="shared" si="13"/>
        <v>-6840.1942813861015</v>
      </c>
      <c r="F21" s="75">
        <f t="shared" si="13"/>
        <v>-7140.202802499527</v>
      </c>
      <c r="G21" s="75">
        <f t="shared" si="13"/>
        <v>-7321.2550653285361</v>
      </c>
      <c r="H21" s="75"/>
      <c r="I21" s="75">
        <f t="shared" si="13"/>
        <v>-7693.1748226472255</v>
      </c>
      <c r="J21" s="75">
        <f t="shared" si="13"/>
        <v>-8083.9881036377046</v>
      </c>
      <c r="K21" s="75">
        <f t="shared" si="13"/>
        <v>-8494.6546993025004</v>
      </c>
    </row>
    <row r="22" spans="1:16" s="70" customFormat="1" x14ac:dyDescent="0.2">
      <c r="A22" s="70" t="s">
        <v>729</v>
      </c>
      <c r="B22" s="101">
        <f>B16-B21</f>
        <v>0</v>
      </c>
      <c r="C22" s="101">
        <f>C16-C21</f>
        <v>16.638136716531335</v>
      </c>
      <c r="D22" s="101">
        <f t="shared" ref="D22:G22" si="14">D16-D21</f>
        <v>1400.6379473584548</v>
      </c>
      <c r="E22" s="101">
        <f t="shared" si="14"/>
        <v>1599.1942813861015</v>
      </c>
      <c r="F22" s="101">
        <f t="shared" si="14"/>
        <v>3054.202802499527</v>
      </c>
      <c r="G22" s="101">
        <f t="shared" si="14"/>
        <v>2581.2550653285361</v>
      </c>
      <c r="H22" s="101"/>
      <c r="I22" s="101">
        <f t="shared" ref="I22:K22" si="15">I16-I21</f>
        <v>2242.3597275236525</v>
      </c>
      <c r="J22" s="101">
        <f t="shared" si="15"/>
        <v>2545.0271216818528</v>
      </c>
      <c r="K22" s="101">
        <f t="shared" si="15"/>
        <v>2877.1195714632922</v>
      </c>
      <c r="L22" s="75"/>
    </row>
    <row r="23" spans="1:16" x14ac:dyDescent="0.2">
      <c r="L23" s="101"/>
    </row>
    <row r="26" spans="1:16" x14ac:dyDescent="0.2">
      <c r="A26" s="102" t="s">
        <v>711</v>
      </c>
      <c r="B26" s="88"/>
      <c r="C26" s="88"/>
      <c r="D26" s="88"/>
      <c r="E26" s="88"/>
      <c r="F26" s="88"/>
      <c r="G26" s="88"/>
      <c r="H26" s="88"/>
      <c r="I26" s="88"/>
      <c r="J26" s="88"/>
      <c r="K26" s="88"/>
    </row>
    <row r="27" spans="1:16" x14ac:dyDescent="0.2">
      <c r="A27" s="87" t="s">
        <v>730</v>
      </c>
      <c r="B27" s="88"/>
      <c r="C27" s="88"/>
      <c r="D27" s="88"/>
      <c r="E27" s="88"/>
      <c r="F27" s="88"/>
      <c r="G27" s="88"/>
      <c r="H27" s="88"/>
      <c r="I27" s="88"/>
      <c r="J27" s="88"/>
      <c r="K27" s="88"/>
    </row>
    <row r="28" spans="1:16" x14ac:dyDescent="0.2">
      <c r="A28" s="88" t="s">
        <v>731</v>
      </c>
      <c r="B28" s="89">
        <f>Input!B35</f>
        <v>53147</v>
      </c>
      <c r="C28" s="89">
        <f>Input!C35</f>
        <v>45512</v>
      </c>
      <c r="D28" s="89">
        <f>Input!D35</f>
        <v>49351</v>
      </c>
      <c r="E28" s="89">
        <f>Input!E35</f>
        <v>45868</v>
      </c>
      <c r="F28" s="89">
        <f>Input!F35</f>
        <v>47039</v>
      </c>
      <c r="G28" s="89">
        <f>Input!G35</f>
        <v>38890</v>
      </c>
      <c r="H28" s="89"/>
      <c r="I28" s="89">
        <f>Input!I35</f>
        <v>88254.538228774356</v>
      </c>
      <c r="J28" s="89">
        <f>Input!J35</f>
        <v>88896.744370796107</v>
      </c>
      <c r="K28" s="89">
        <f>Input!K35</f>
        <v>89588.70230483255</v>
      </c>
    </row>
    <row r="29" spans="1:16" x14ac:dyDescent="0.2">
      <c r="A29" s="88" t="s">
        <v>732</v>
      </c>
      <c r="B29" s="89">
        <f>-Input!B12</f>
        <v>-4137</v>
      </c>
      <c r="C29" s="89">
        <f>-Input!C12</f>
        <v>-2510</v>
      </c>
      <c r="D29" s="89">
        <f>-Input!D12</f>
        <v>-2345</v>
      </c>
      <c r="E29" s="89">
        <f>-Input!E12</f>
        <v>-2465</v>
      </c>
      <c r="F29" s="89">
        <f>-Input!F12</f>
        <v>-2340</v>
      </c>
      <c r="G29" s="89">
        <f>-Input!G12</f>
        <v>-2255</v>
      </c>
      <c r="H29" s="89"/>
      <c r="I29" s="89">
        <f>-Input!I12</f>
        <v>-2406</v>
      </c>
      <c r="J29" s="89">
        <f>-Input!J12</f>
        <v>-2679</v>
      </c>
      <c r="K29" s="89">
        <f>-Input!K12</f>
        <v>-2964</v>
      </c>
      <c r="L29" s="75"/>
    </row>
    <row r="30" spans="1:16" x14ac:dyDescent="0.2">
      <c r="A30" s="88" t="s">
        <v>733</v>
      </c>
      <c r="B30" s="88"/>
      <c r="C30" s="88"/>
      <c r="D30" s="88"/>
      <c r="E30" s="88"/>
      <c r="F30" s="88"/>
      <c r="G30" s="88"/>
      <c r="H30" s="88"/>
      <c r="I30" s="88"/>
      <c r="J30" s="88"/>
      <c r="K30" s="88"/>
      <c r="L30" s="75"/>
    </row>
    <row r="31" spans="1:16" x14ac:dyDescent="0.2">
      <c r="A31" s="103" t="s">
        <v>734</v>
      </c>
      <c r="B31" s="104">
        <f t="shared" ref="B31:G31" si="16">SUM(B28:B30)</f>
        <v>49010</v>
      </c>
      <c r="C31" s="104">
        <f t="shared" si="16"/>
        <v>43002</v>
      </c>
      <c r="D31" s="104">
        <f t="shared" si="16"/>
        <v>47006</v>
      </c>
      <c r="E31" s="104">
        <f t="shared" si="16"/>
        <v>43403</v>
      </c>
      <c r="F31" s="104">
        <f t="shared" si="16"/>
        <v>44699</v>
      </c>
      <c r="G31" s="104">
        <f t="shared" si="16"/>
        <v>36635</v>
      </c>
      <c r="H31" s="104"/>
      <c r="I31" s="104">
        <f t="shared" ref="I31:K31" si="17">SUM(I28:I30)</f>
        <v>85848.538228774356</v>
      </c>
      <c r="J31" s="104">
        <f t="shared" si="17"/>
        <v>86217.744370796107</v>
      </c>
      <c r="K31" s="104">
        <f t="shared" si="17"/>
        <v>86624.70230483255</v>
      </c>
    </row>
    <row r="32" spans="1:16" x14ac:dyDescent="0.2">
      <c r="A32" s="88"/>
      <c r="B32" s="88"/>
      <c r="C32" s="88"/>
      <c r="D32" s="88"/>
      <c r="E32" s="88"/>
      <c r="F32" s="88"/>
      <c r="G32" s="88"/>
      <c r="H32" s="88"/>
      <c r="I32" s="88"/>
      <c r="J32" s="88"/>
      <c r="K32" s="88"/>
      <c r="L32" s="75"/>
    </row>
    <row r="33" spans="1:12" x14ac:dyDescent="0.2">
      <c r="A33" s="88" t="s">
        <v>238</v>
      </c>
      <c r="B33" s="89">
        <f>Input!B67</f>
        <v>39778</v>
      </c>
      <c r="C33" s="89">
        <f>Input!C67</f>
        <v>33453</v>
      </c>
      <c r="D33" s="89">
        <f>Input!D67</f>
        <v>33707</v>
      </c>
      <c r="E33" s="89">
        <f>Input!E67</f>
        <v>33643</v>
      </c>
      <c r="F33" s="89">
        <f>Input!F67</f>
        <v>35374</v>
      </c>
      <c r="G33" s="89">
        <f>Input!G67</f>
        <v>27228</v>
      </c>
      <c r="H33" s="89"/>
      <c r="I33" s="89">
        <f>Input!I67</f>
        <v>68574.401869651367</v>
      </c>
      <c r="J33" s="89">
        <f>Input!J67</f>
        <v>69187.602364629653</v>
      </c>
      <c r="K33" s="89">
        <f>Input!K67</f>
        <v>69831.933124752846</v>
      </c>
    </row>
    <row r="34" spans="1:12" x14ac:dyDescent="0.2">
      <c r="A34" s="88" t="s">
        <v>735</v>
      </c>
      <c r="B34" s="89">
        <f>-Input!B63</f>
        <v>-17790</v>
      </c>
      <c r="C34" s="89">
        <f>-Input!C63</f>
        <v>-15670</v>
      </c>
      <c r="D34" s="89">
        <f>-Input!D63</f>
        <v>-15357</v>
      </c>
      <c r="E34" s="89">
        <f>-Input!E63</f>
        <v>-15078</v>
      </c>
      <c r="F34" s="89">
        <f>-Input!F63</f>
        <v>-14841</v>
      </c>
      <c r="G34" s="89">
        <f>-Input!G63</f>
        <v>-14666</v>
      </c>
      <c r="H34" s="89"/>
      <c r="I34" s="89">
        <f>-Input!I63</f>
        <v>-54313.4</v>
      </c>
      <c r="J34" s="89">
        <f>-Input!J63</f>
        <v>-54313.8</v>
      </c>
      <c r="K34" s="89">
        <f>-Input!K63</f>
        <v>-54314.200000000004</v>
      </c>
      <c r="L34" s="75"/>
    </row>
    <row r="35" spans="1:12" x14ac:dyDescent="0.2">
      <c r="A35" s="103" t="s">
        <v>736</v>
      </c>
      <c r="B35" s="104">
        <f t="shared" ref="B35:F35" si="18">SUM(B33:B34)</f>
        <v>21988</v>
      </c>
      <c r="C35" s="104">
        <f t="shared" si="18"/>
        <v>17783</v>
      </c>
      <c r="D35" s="104">
        <f t="shared" si="18"/>
        <v>18350</v>
      </c>
      <c r="E35" s="104">
        <f>SUM(E33:E34)</f>
        <v>18565</v>
      </c>
      <c r="F35" s="104">
        <f t="shared" si="18"/>
        <v>20533</v>
      </c>
      <c r="G35" s="104">
        <f>SUM(G33:G34)</f>
        <v>12562</v>
      </c>
      <c r="H35" s="104"/>
      <c r="I35" s="104">
        <f>SUM(I33:I34)</f>
        <v>14261.001869651365</v>
      </c>
      <c r="J35" s="104">
        <f t="shared" ref="J35" si="19">SUM(J33:J34)</f>
        <v>14873.80236462965</v>
      </c>
      <c r="K35" s="104">
        <f>SUM(K33:K34)</f>
        <v>15517.733124752842</v>
      </c>
      <c r="L35" s="75"/>
    </row>
    <row r="36" spans="1:12" x14ac:dyDescent="0.2">
      <c r="A36" s="88"/>
      <c r="B36" s="88"/>
      <c r="C36" s="88"/>
      <c r="D36" s="88"/>
      <c r="E36" s="88"/>
      <c r="F36" s="88"/>
      <c r="G36" s="88"/>
      <c r="H36" s="88"/>
      <c r="I36" s="88"/>
      <c r="J36" s="88"/>
      <c r="K36" s="88"/>
      <c r="L36" s="75"/>
    </row>
    <row r="37" spans="1:12" x14ac:dyDescent="0.2">
      <c r="A37" s="105" t="s">
        <v>737</v>
      </c>
      <c r="B37" s="106">
        <f>B31-B35</f>
        <v>27022</v>
      </c>
      <c r="C37" s="106">
        <f>C31-C35</f>
        <v>25219</v>
      </c>
      <c r="D37" s="106">
        <f t="shared" ref="D37:G37" si="20">D31-D35</f>
        <v>28656</v>
      </c>
      <c r="E37" s="106">
        <f t="shared" si="20"/>
        <v>24838</v>
      </c>
      <c r="F37" s="106">
        <f t="shared" si="20"/>
        <v>24166</v>
      </c>
      <c r="G37" s="106">
        <f t="shared" si="20"/>
        <v>24073</v>
      </c>
      <c r="H37" s="106"/>
      <c r="I37" s="106">
        <f t="shared" ref="I37:J37" si="21">I31-I35</f>
        <v>71587.536359122983</v>
      </c>
      <c r="J37" s="106">
        <f t="shared" si="21"/>
        <v>71343.942006166457</v>
      </c>
      <c r="K37" s="106">
        <f>K31-K35</f>
        <v>71106.969180079701</v>
      </c>
    </row>
    <row r="38" spans="1:12" x14ac:dyDescent="0.2">
      <c r="A38" s="107" t="s">
        <v>640</v>
      </c>
      <c r="B38" s="89">
        <f>Input!B75</f>
        <v>58091</v>
      </c>
      <c r="C38" s="89">
        <f>Input!C75</f>
        <v>57887</v>
      </c>
      <c r="D38" s="89">
        <f>Input!D75</f>
        <v>61344</v>
      </c>
      <c r="E38" s="89">
        <f>Input!E75</f>
        <v>65322</v>
      </c>
      <c r="F38" s="89">
        <f>Input!F75</f>
        <v>68187</v>
      </c>
      <c r="G38" s="89">
        <f>Input!G75</f>
        <v>69916</v>
      </c>
      <c r="H38" s="89"/>
      <c r="I38" s="89">
        <f>Input!I75</f>
        <v>73467.732799999998</v>
      </c>
      <c r="J38" s="89">
        <f>Input!J75</f>
        <v>77199.893626239995</v>
      </c>
      <c r="K38" s="89">
        <f>Input!K75</f>
        <v>81121.64822245299</v>
      </c>
      <c r="L38" s="75"/>
    </row>
    <row r="39" spans="1:12" s="70" customFormat="1" x14ac:dyDescent="0.2">
      <c r="A39" s="108" t="s">
        <v>738</v>
      </c>
      <c r="B39" s="109">
        <f t="shared" ref="B39:G39" si="22">B37/B38</f>
        <v>0.46516672117884011</v>
      </c>
      <c r="C39" s="109">
        <f t="shared" si="22"/>
        <v>0.43565912899269266</v>
      </c>
      <c r="D39" s="109">
        <f t="shared" si="22"/>
        <v>0.46713615023474181</v>
      </c>
      <c r="E39" s="109">
        <f t="shared" si="22"/>
        <v>0.38023942928875415</v>
      </c>
      <c r="F39" s="109">
        <f t="shared" si="22"/>
        <v>0.35440773167905903</v>
      </c>
      <c r="G39" s="109">
        <f t="shared" si="22"/>
        <v>0.34431317581097315</v>
      </c>
      <c r="H39" s="109"/>
      <c r="I39" s="109">
        <f t="shared" ref="I39:K39" si="23">I37/I38</f>
        <v>0.97440786084966791</v>
      </c>
      <c r="J39" s="109">
        <f t="shared" si="23"/>
        <v>0.92414559988353251</v>
      </c>
      <c r="K39" s="109">
        <f t="shared" si="23"/>
        <v>0.87654739195003917</v>
      </c>
      <c r="L39" s="75"/>
    </row>
    <row r="40" spans="1:12" x14ac:dyDescent="0.2">
      <c r="A40" s="88" t="s">
        <v>727</v>
      </c>
      <c r="B40" s="110"/>
      <c r="C40" s="110">
        <f>C38/B38-1</f>
        <v>-3.5117315935342397E-3</v>
      </c>
      <c r="D40" s="110">
        <f>D38/C38-1</f>
        <v>5.9719798918582701E-2</v>
      </c>
      <c r="E40" s="110">
        <f t="shared" ref="E40:G40" si="24">E38/D38-1</f>
        <v>6.484741784037551E-2</v>
      </c>
      <c r="F40" s="110">
        <f t="shared" si="24"/>
        <v>4.3859649122806932E-2</v>
      </c>
      <c r="G40" s="110">
        <f t="shared" si="24"/>
        <v>2.5356739554460495E-2</v>
      </c>
      <c r="H40" s="110"/>
      <c r="I40" s="110">
        <f>I38/G38-1</f>
        <v>5.0799999999999956E-2</v>
      </c>
      <c r="J40" s="110">
        <f t="shared" ref="J40" si="25">J38/I38-1</f>
        <v>5.0799999999999956E-2</v>
      </c>
      <c r="K40" s="110">
        <f t="shared" ref="K40" si="26">K38/J38-1</f>
        <v>5.0799999999999956E-2</v>
      </c>
      <c r="L40" s="100"/>
    </row>
    <row r="41" spans="1:12" x14ac:dyDescent="0.2">
      <c r="L41" s="99"/>
    </row>
    <row r="42" spans="1:12" x14ac:dyDescent="0.2">
      <c r="A42" s="71" t="s">
        <v>739</v>
      </c>
      <c r="B42" s="75">
        <f>B38*MIN($B$39:$K$39)</f>
        <v>20001.496696035239</v>
      </c>
      <c r="C42" s="75">
        <f t="shared" ref="C42:K42" si="27">C38*MIN($B$39:$K$39)</f>
        <v>19931.256808169801</v>
      </c>
      <c r="D42" s="75">
        <f t="shared" si="27"/>
        <v>21121.547456948338</v>
      </c>
      <c r="E42" s="75">
        <f t="shared" si="27"/>
        <v>22491.225270324387</v>
      </c>
      <c r="F42" s="75">
        <f t="shared" si="27"/>
        <v>23477.682519022826</v>
      </c>
      <c r="G42" s="75">
        <f t="shared" si="27"/>
        <v>24073</v>
      </c>
      <c r="H42" s="75"/>
      <c r="I42" s="75">
        <f t="shared" si="27"/>
        <v>25295.908399999997</v>
      </c>
      <c r="J42" s="75">
        <f t="shared" si="27"/>
        <v>26580.940546719998</v>
      </c>
      <c r="K42" s="75">
        <f t="shared" si="27"/>
        <v>27931.252326493373</v>
      </c>
    </row>
    <row r="43" spans="1:12" x14ac:dyDescent="0.2">
      <c r="A43" s="70" t="s">
        <v>740</v>
      </c>
      <c r="B43" s="75">
        <f t="shared" ref="B43:G43" si="28">B37-B42</f>
        <v>7020.5033039647606</v>
      </c>
      <c r="C43" s="75">
        <f>C37-C42</f>
        <v>5287.7431918301991</v>
      </c>
      <c r="D43" s="75">
        <f>D37-D42</f>
        <v>7534.4525430516624</v>
      </c>
      <c r="E43" s="75">
        <f t="shared" si="28"/>
        <v>2346.7747296756133</v>
      </c>
      <c r="F43" s="75">
        <f t="shared" si="28"/>
        <v>688.31748097717355</v>
      </c>
      <c r="G43" s="75">
        <f t="shared" si="28"/>
        <v>0</v>
      </c>
      <c r="H43" s="75"/>
      <c r="I43" s="75">
        <f t="shared" ref="I43:J43" si="29">I37-I42</f>
        <v>46291.627959122983</v>
      </c>
      <c r="J43" s="75">
        <f t="shared" si="29"/>
        <v>44763.001459446459</v>
      </c>
      <c r="K43" s="75">
        <f>K37-K42</f>
        <v>43175.716853586331</v>
      </c>
      <c r="L43" s="75"/>
    </row>
    <row r="44" spans="1:12" x14ac:dyDescent="0.2">
      <c r="L44" s="75"/>
    </row>
  </sheetData>
  <mergeCells count="4">
    <mergeCell ref="AN5:AO5"/>
    <mergeCell ref="M5:N5"/>
    <mergeCell ref="B5:G5"/>
    <mergeCell ref="I5:K5"/>
  </mergeCells>
  <pageMargins left="0.7" right="0.7" top="0.75" bottom="0.75" header="0.3" footer="0.3"/>
  <drawing r:id="rId1"/>
  <extLst>
    <ext xmlns:x14="http://schemas.microsoft.com/office/spreadsheetml/2009/9/main" uri="{05C60535-1F16-4fd2-B633-F4F36F0B64E0}">
      <x14:sparklineGroups xmlns:xm="http://schemas.microsoft.com/office/excel/2006/main">
        <x14:sparklineGroup displayEmptyCellsAs="gap" xr2:uid="{9154E209-536A-BD40-A667-A3611ECA72E5}">
          <x14:colorSeries rgb="FF376092"/>
          <x14:colorNegative rgb="FFD00000"/>
          <x14:colorAxis rgb="FF000000"/>
          <x14:colorMarkers rgb="FFD00000"/>
          <x14:colorFirst rgb="FFD00000"/>
          <x14:colorLast rgb="FFD00000"/>
          <x14:colorHigh rgb="FFD00000"/>
          <x14:colorLow rgb="FFD00000"/>
          <x14:sparklines>
            <x14:sparkline>
              <xm:f>AWC!B18:K18</xm:f>
              <xm:sqref>L18</xm:sqref>
            </x14:sparkline>
          </x14:sparklines>
        </x14:sparklineGroup>
        <x14:sparklineGroup displayEmptyCellsAs="gap" xr2:uid="{B0857F1D-4D67-8A48-9A78-70CE3843BEDD}">
          <x14:colorSeries rgb="FF376092"/>
          <x14:colorNegative rgb="FFD00000"/>
          <x14:colorAxis rgb="FF000000"/>
          <x14:colorMarkers rgb="FFD00000"/>
          <x14:colorFirst rgb="FFD00000"/>
          <x14:colorLast rgb="FFD00000"/>
          <x14:colorHigh rgb="FFD00000"/>
          <x14:colorLow rgb="FFD00000"/>
          <x14:sparklines>
            <x14:sparkline>
              <xm:f>AWC!B10:K10</xm:f>
              <xm:sqref>L10</xm:sqref>
            </x14:sparkline>
          </x14:sparklines>
        </x14:sparklineGroup>
        <x14:sparklineGroup displayEmptyCellsAs="gap" xr2:uid="{0845AFB9-A560-5641-A5CE-8F9D72658356}">
          <x14:colorSeries rgb="FF376092"/>
          <x14:colorNegative rgb="FFD00000"/>
          <x14:colorAxis rgb="FF000000"/>
          <x14:colorMarkers rgb="FFD00000"/>
          <x14:colorFirst rgb="FFD00000"/>
          <x14:colorLast rgb="FFD00000"/>
          <x14:colorHigh rgb="FFD00000"/>
          <x14:colorLow rgb="FFD00000"/>
          <x14:sparklines>
            <x14:sparkline>
              <xm:f>AWC!B14:K14</xm:f>
              <xm:sqref>L14</xm:sqref>
            </x14:sparkline>
          </x14:sparklines>
        </x14:sparklineGroup>
        <x14:sparklineGroup displayEmptyCellsAs="gap" xr2:uid="{D99B8BF5-9C4B-AF43-9870-B0E2B9344475}">
          <x14:colorSeries rgb="FF376092"/>
          <x14:colorNegative rgb="FFD00000"/>
          <x14:colorAxis rgb="FF000000"/>
          <x14:colorMarkers rgb="FFD00000"/>
          <x14:colorFirst rgb="FFD00000"/>
          <x14:colorLast rgb="FFD00000"/>
          <x14:colorHigh rgb="FFD00000"/>
          <x14:colorLow rgb="FFD00000"/>
          <x14:sparklines>
            <x14:sparkline>
              <xm:f>AWC!B16:K16</xm:f>
              <xm:sqref>L16</xm:sqref>
            </x14:sparkline>
          </x14:sparklines>
        </x14:sparklineGroup>
        <x14:sparklineGroup displayEmptyCellsAs="gap" xr2:uid="{9DD9452E-6DFA-8443-B206-F6B42A122E03}">
          <x14:colorSeries rgb="FF376092"/>
          <x14:colorNegative rgb="FFD00000"/>
          <x14:colorAxis rgb="FF000000"/>
          <x14:colorMarkers rgb="FFD00000"/>
          <x14:colorFirst rgb="FFD00000"/>
          <x14:colorLast rgb="FFD00000"/>
          <x14:colorHigh rgb="FFD00000"/>
          <x14:colorLow rgb="FFD00000"/>
          <x14:sparklines>
            <x14:sparkline>
              <xm:f>AWC!B17:K17</xm:f>
              <xm:sqref>L17</xm:sqref>
            </x14:sparkline>
          </x14:sparklines>
        </x14:sparklineGroup>
      </x14:sparklineGroup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F20AA-5AB1-874E-9B1C-79FA7172935F}">
  <dimension ref="A1:CF115"/>
  <sheetViews>
    <sheetView topLeftCell="A2" zoomScale="122" zoomScaleNormal="122" workbookViewId="0">
      <pane xSplit="1" topLeftCell="B1" activePane="topRight" state="frozen"/>
      <selection activeCell="A52" sqref="A52"/>
      <selection pane="topRight" activeCell="L24" sqref="L24"/>
    </sheetView>
  </sheetViews>
  <sheetFormatPr baseColWidth="10" defaultRowHeight="16" x14ac:dyDescent="0.2"/>
  <cols>
    <col min="1" max="1" width="40.6640625" style="71" bestFit="1" customWidth="1"/>
    <col min="2" max="7" width="11.83203125" style="112" customWidth="1"/>
    <col min="13" max="38" width="11.83203125" style="112" customWidth="1"/>
    <col min="39" max="16384" width="10.83203125" style="71"/>
  </cols>
  <sheetData>
    <row r="1" spans="1:53" x14ac:dyDescent="0.2">
      <c r="A1" s="70" t="str">
        <f>Input!A1</f>
        <v>Borrower</v>
      </c>
      <c r="B1" s="111" t="str">
        <f>Input!B1</f>
        <v>Tesco PLC (LSE: TSCO)</v>
      </c>
    </row>
    <row r="2" spans="1:53" x14ac:dyDescent="0.2">
      <c r="A2" s="70" t="s">
        <v>745</v>
      </c>
    </row>
    <row r="3" spans="1:53" ht="17" thickBot="1" x14ac:dyDescent="0.25"/>
    <row r="4" spans="1:53" ht="17" thickBot="1" x14ac:dyDescent="0.25">
      <c r="A4" s="224" t="s">
        <v>746</v>
      </c>
      <c r="B4" s="225"/>
      <c r="C4" s="225"/>
      <c r="D4" s="225"/>
      <c r="E4" s="225"/>
      <c r="F4" s="225"/>
      <c r="G4" s="225"/>
      <c r="H4" s="226"/>
      <c r="I4" s="226"/>
      <c r="J4" s="226"/>
      <c r="K4" s="227"/>
      <c r="M4" s="71"/>
      <c r="N4" s="71"/>
      <c r="O4" s="71"/>
      <c r="P4" s="71"/>
      <c r="Q4" s="71"/>
      <c r="R4" s="71"/>
      <c r="S4" s="71"/>
      <c r="T4" s="71"/>
      <c r="U4" s="71"/>
      <c r="V4" s="71"/>
      <c r="W4" s="71"/>
      <c r="X4" s="71"/>
      <c r="Y4" s="71"/>
      <c r="Z4" s="71"/>
      <c r="AA4" s="71"/>
      <c r="AB4" s="71"/>
      <c r="AC4" s="71"/>
      <c r="AD4" s="71"/>
      <c r="AE4" s="71"/>
      <c r="AF4" s="71"/>
      <c r="AG4" s="71"/>
      <c r="AH4" s="71"/>
      <c r="AI4" s="71"/>
      <c r="AJ4" s="71"/>
      <c r="AK4" s="71"/>
      <c r="AL4" s="71"/>
    </row>
    <row r="5" spans="1:53" ht="17" thickBot="1" x14ac:dyDescent="0.25">
      <c r="A5" s="114"/>
      <c r="B5" s="268" t="s">
        <v>6</v>
      </c>
      <c r="C5" s="269"/>
      <c r="D5" s="269"/>
      <c r="E5" s="269"/>
      <c r="F5" s="269"/>
      <c r="G5" s="270"/>
      <c r="H5" s="217"/>
      <c r="I5" s="257" t="s">
        <v>790</v>
      </c>
      <c r="J5" s="271"/>
      <c r="K5" s="272"/>
      <c r="L5" s="74"/>
      <c r="M5" s="71"/>
      <c r="N5" s="71"/>
      <c r="O5" s="71"/>
      <c r="P5" s="71"/>
      <c r="Q5" s="71"/>
      <c r="R5" s="71"/>
      <c r="S5" s="71"/>
      <c r="T5" s="71"/>
      <c r="U5" s="71"/>
      <c r="V5" s="71"/>
      <c r="W5" s="71"/>
      <c r="X5" s="71"/>
      <c r="Y5" s="71"/>
      <c r="Z5" s="71"/>
      <c r="AA5" s="71"/>
      <c r="AB5" s="71"/>
      <c r="AC5" s="71"/>
      <c r="AD5" s="71"/>
      <c r="AE5" s="71"/>
      <c r="AF5" s="71"/>
      <c r="AG5" s="71"/>
      <c r="AH5" s="71"/>
      <c r="AI5" s="71"/>
      <c r="AJ5" s="71"/>
      <c r="AK5" s="71"/>
      <c r="AL5" s="71"/>
    </row>
    <row r="6" spans="1:53" s="70" customFormat="1" x14ac:dyDescent="0.2">
      <c r="A6" s="115"/>
      <c r="B6" s="198">
        <f>Input!B8</f>
        <v>2020</v>
      </c>
      <c r="C6" s="198">
        <f>Input!C8</f>
        <v>2021</v>
      </c>
      <c r="D6" s="72">
        <f>Input!D8</f>
        <v>2022</v>
      </c>
      <c r="E6" s="198">
        <f>Input!E8</f>
        <v>2023</v>
      </c>
      <c r="F6" s="72">
        <f>Input!F8</f>
        <v>2024</v>
      </c>
      <c r="G6" s="72">
        <f>Input!G8</f>
        <v>2025</v>
      </c>
      <c r="H6" s="72"/>
      <c r="I6" s="72">
        <f>Input!I8</f>
        <v>2026</v>
      </c>
      <c r="J6" s="72">
        <f>Input!J8</f>
        <v>2027</v>
      </c>
      <c r="K6" s="199">
        <f>Input!K8</f>
        <v>2028</v>
      </c>
      <c r="L6" s="72"/>
    </row>
    <row r="7" spans="1:53" x14ac:dyDescent="0.2">
      <c r="A7" s="116" t="str">
        <f>Input!A9</f>
        <v>Periods</v>
      </c>
      <c r="B7" s="74">
        <f>Input!B9</f>
        <v>12</v>
      </c>
      <c r="C7" s="74">
        <f>Input!C9</f>
        <v>12</v>
      </c>
      <c r="D7" s="74">
        <f>Input!D9</f>
        <v>12</v>
      </c>
      <c r="E7" s="74">
        <f>Input!E9</f>
        <v>12</v>
      </c>
      <c r="F7" s="74">
        <f>Input!F9</f>
        <v>12</v>
      </c>
      <c r="G7" s="74">
        <f>Input!G9</f>
        <v>12</v>
      </c>
      <c r="H7" s="74"/>
      <c r="I7" s="74">
        <f>Input!I9</f>
        <v>12</v>
      </c>
      <c r="J7" s="74">
        <f>Input!J9</f>
        <v>12</v>
      </c>
      <c r="K7" s="117">
        <f>Input!K9</f>
        <v>12</v>
      </c>
      <c r="L7" s="74"/>
      <c r="M7" s="71"/>
      <c r="N7" s="71"/>
      <c r="O7" s="71"/>
      <c r="P7" s="71"/>
      <c r="Q7" s="71"/>
      <c r="R7" s="71"/>
      <c r="S7" s="71"/>
      <c r="T7" s="71"/>
      <c r="U7" s="71"/>
      <c r="V7" s="71"/>
      <c r="W7" s="71"/>
      <c r="X7" s="71"/>
      <c r="Y7" s="71"/>
      <c r="Z7" s="71"/>
      <c r="AA7" s="71"/>
      <c r="AB7" s="71"/>
      <c r="AC7" s="71"/>
      <c r="AD7" s="71"/>
      <c r="AE7" s="71"/>
      <c r="AF7" s="71"/>
      <c r="AG7" s="71"/>
      <c r="AH7" s="71"/>
      <c r="AI7" s="71"/>
      <c r="AJ7" s="71"/>
      <c r="AK7" s="71"/>
      <c r="AL7" s="71"/>
    </row>
    <row r="8" spans="1:53" x14ac:dyDescent="0.2">
      <c r="A8" s="118"/>
      <c r="H8" s="112"/>
      <c r="I8" s="112"/>
      <c r="J8" s="112"/>
      <c r="K8" s="119"/>
      <c r="L8" s="112"/>
      <c r="M8" s="71"/>
      <c r="N8" s="71"/>
      <c r="O8" s="71"/>
      <c r="P8" s="71"/>
      <c r="Q8" s="71"/>
      <c r="R8" s="71"/>
      <c r="S8" s="71"/>
      <c r="T8" s="71"/>
      <c r="U8" s="71"/>
      <c r="V8" s="71"/>
      <c r="W8" s="71"/>
      <c r="X8" s="71"/>
      <c r="Y8" s="71"/>
      <c r="Z8" s="71"/>
      <c r="AA8" s="71"/>
      <c r="AB8" s="71"/>
      <c r="AC8" s="71"/>
      <c r="AD8" s="71"/>
      <c r="AE8" s="71"/>
      <c r="AF8" s="71"/>
      <c r="AG8" s="71"/>
      <c r="AH8" s="71"/>
      <c r="AI8" s="71"/>
      <c r="AJ8" s="71"/>
      <c r="AK8" s="71"/>
      <c r="AL8" s="71"/>
    </row>
    <row r="9" spans="1:53" x14ac:dyDescent="0.2">
      <c r="A9" s="118" t="s">
        <v>347</v>
      </c>
      <c r="B9" s="120">
        <f>Input!B87</f>
        <v>2337</v>
      </c>
      <c r="C9" s="120">
        <f>Input!C87</f>
        <v>1685</v>
      </c>
      <c r="D9" s="120">
        <f>Input!D87</f>
        <v>2360</v>
      </c>
      <c r="E9" s="120">
        <f>Input!E87</f>
        <v>2371</v>
      </c>
      <c r="F9" s="120">
        <f>Input!F87</f>
        <v>2294</v>
      </c>
      <c r="G9" s="120">
        <f>Input!G87</f>
        <v>2388</v>
      </c>
      <c r="H9" s="120"/>
      <c r="I9" s="122">
        <f>Input!I87</f>
        <v>2801.5920297600001</v>
      </c>
      <c r="J9" s="122">
        <f>Input!J87</f>
        <v>2954.0948212041267</v>
      </c>
      <c r="K9" s="123">
        <f>Input!K87</f>
        <v>3105.4430054486461</v>
      </c>
      <c r="L9" s="122"/>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row>
    <row r="10" spans="1:53" x14ac:dyDescent="0.2">
      <c r="A10" s="118" t="s">
        <v>747</v>
      </c>
      <c r="B10" s="122">
        <f>(Input!B89-Input!B90)</f>
        <v>0</v>
      </c>
      <c r="C10" s="122">
        <f>(Input!C89-Input!C90)</f>
        <v>0</v>
      </c>
      <c r="D10" s="122">
        <f>(Input!D89-Input!D90)</f>
        <v>0</v>
      </c>
      <c r="E10" s="122">
        <f>(Input!E89-Input!E90)</f>
        <v>0</v>
      </c>
      <c r="F10" s="122">
        <f>(Input!F89-Input!F90)</f>
        <v>0</v>
      </c>
      <c r="G10" s="122">
        <f>(Input!G89-Input!G90)</f>
        <v>0</v>
      </c>
      <c r="H10" s="122"/>
      <c r="I10" s="122">
        <f>(Input!I89-Input!I90)</f>
        <v>0</v>
      </c>
      <c r="J10" s="122">
        <f>(Input!J89-Input!J90)</f>
        <v>0</v>
      </c>
      <c r="K10" s="123">
        <f>(Input!K89-Input!K90)</f>
        <v>0</v>
      </c>
      <c r="L10" s="122"/>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c r="BA10" s="120"/>
    </row>
    <row r="11" spans="1:53" x14ac:dyDescent="0.2">
      <c r="A11" s="124" t="s">
        <v>748</v>
      </c>
      <c r="B11" s="208">
        <f>SUM(B9:B10)</f>
        <v>2337</v>
      </c>
      <c r="C11" s="208">
        <f t="shared" ref="C11:G11" si="0">SUM(C9:C10)</f>
        <v>1685</v>
      </c>
      <c r="D11" s="208">
        <f t="shared" si="0"/>
        <v>2360</v>
      </c>
      <c r="E11" s="208">
        <f t="shared" si="0"/>
        <v>2371</v>
      </c>
      <c r="F11" s="208">
        <f t="shared" si="0"/>
        <v>2294</v>
      </c>
      <c r="G11" s="208">
        <f t="shared" si="0"/>
        <v>2388</v>
      </c>
      <c r="H11" s="208"/>
      <c r="I11" s="208">
        <f t="shared" ref="I11:K11" si="1">SUM(I9:I10)</f>
        <v>2801.5920297600001</v>
      </c>
      <c r="J11" s="208">
        <f t="shared" si="1"/>
        <v>2954.0948212041267</v>
      </c>
      <c r="K11" s="125">
        <f t="shared" si="1"/>
        <v>3105.4430054486461</v>
      </c>
      <c r="L11" s="122"/>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0"/>
      <c r="AW11" s="120"/>
      <c r="AX11" s="120"/>
      <c r="AY11" s="120"/>
      <c r="AZ11" s="120"/>
      <c r="BA11" s="120"/>
    </row>
    <row r="12" spans="1:53" x14ac:dyDescent="0.2">
      <c r="A12" s="118"/>
      <c r="B12" s="120"/>
      <c r="C12" s="120"/>
      <c r="D12" s="120"/>
      <c r="E12" s="120"/>
      <c r="F12" s="120"/>
      <c r="G12" s="120"/>
      <c r="H12" s="120"/>
      <c r="I12" s="120"/>
      <c r="J12" s="120"/>
      <c r="K12" s="121"/>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0"/>
      <c r="AU12" s="120"/>
      <c r="AV12" s="120"/>
      <c r="AW12" s="120"/>
      <c r="AX12" s="120"/>
      <c r="AY12" s="120"/>
      <c r="AZ12" s="120"/>
      <c r="BA12" s="120"/>
    </row>
    <row r="13" spans="1:53" x14ac:dyDescent="0.2">
      <c r="A13" s="118" t="s">
        <v>749</v>
      </c>
      <c r="B13" s="120">
        <f>Input!B95</f>
        <v>5</v>
      </c>
      <c r="C13" s="120">
        <f>Input!C95</f>
        <v>5</v>
      </c>
      <c r="D13" s="120">
        <f>Input!D95</f>
        <v>5</v>
      </c>
      <c r="E13" s="120">
        <f>Input!E95</f>
        <v>5</v>
      </c>
      <c r="F13" s="120">
        <f>Input!F95</f>
        <v>5</v>
      </c>
      <c r="G13" s="120">
        <f>Input!G95</f>
        <v>5</v>
      </c>
      <c r="H13" s="120"/>
      <c r="I13" s="120">
        <f>Input!I95</f>
        <v>5</v>
      </c>
      <c r="J13" s="120">
        <f>Input!J95</f>
        <v>5</v>
      </c>
      <c r="K13" s="121">
        <f>Input!K95</f>
        <v>5</v>
      </c>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20"/>
      <c r="AN13" s="120"/>
      <c r="AO13" s="120"/>
      <c r="AP13" s="120"/>
      <c r="AQ13" s="120"/>
      <c r="AR13" s="120"/>
      <c r="AS13" s="120"/>
      <c r="AT13" s="120"/>
      <c r="AU13" s="120"/>
      <c r="AV13" s="120"/>
      <c r="AW13" s="120"/>
      <c r="AX13" s="120"/>
      <c r="AY13" s="120"/>
      <c r="AZ13" s="120"/>
      <c r="BA13" s="120"/>
    </row>
    <row r="14" spans="1:53" x14ac:dyDescent="0.2">
      <c r="A14" s="118" t="s">
        <v>750</v>
      </c>
      <c r="B14" s="209">
        <f>Input!B96</f>
        <v>0.04</v>
      </c>
      <c r="C14" s="209">
        <f>Input!C96</f>
        <v>0.04</v>
      </c>
      <c r="D14" s="209">
        <f>Input!D96</f>
        <v>0.04</v>
      </c>
      <c r="E14" s="209">
        <f>Input!E96</f>
        <v>0.04</v>
      </c>
      <c r="F14" s="209">
        <f>Input!F96</f>
        <v>0.04</v>
      </c>
      <c r="G14" s="209">
        <f>Input!G96</f>
        <v>0.04</v>
      </c>
      <c r="H14" s="209"/>
      <c r="I14" s="209">
        <f>Input!I96</f>
        <v>0.04</v>
      </c>
      <c r="J14" s="209">
        <f>Input!J96</f>
        <v>0.04</v>
      </c>
      <c r="K14" s="126">
        <f>Input!K96</f>
        <v>0.04</v>
      </c>
      <c r="L14" s="209"/>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120"/>
      <c r="AO14" s="120"/>
      <c r="AP14" s="120"/>
      <c r="AQ14" s="120"/>
      <c r="AR14" s="120"/>
      <c r="AS14" s="120"/>
      <c r="AT14" s="120"/>
      <c r="AU14" s="120"/>
      <c r="AV14" s="120"/>
      <c r="AW14" s="120"/>
      <c r="AX14" s="120"/>
      <c r="AY14" s="120"/>
      <c r="AZ14" s="120"/>
      <c r="BA14" s="120"/>
    </row>
    <row r="15" spans="1:53" x14ac:dyDescent="0.2">
      <c r="A15" s="118"/>
      <c r="B15" s="120"/>
      <c r="C15" s="120"/>
      <c r="D15" s="120"/>
      <c r="E15" s="120"/>
      <c r="F15" s="120"/>
      <c r="G15" s="120"/>
      <c r="H15" s="120"/>
      <c r="I15" s="120"/>
      <c r="J15" s="120"/>
      <c r="K15" s="121"/>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20"/>
      <c r="AO15" s="120"/>
      <c r="AP15" s="120"/>
      <c r="AQ15" s="120"/>
      <c r="AR15" s="120"/>
      <c r="AS15" s="120"/>
      <c r="AT15" s="120"/>
      <c r="AU15" s="120"/>
      <c r="AV15" s="120"/>
      <c r="AW15" s="120"/>
      <c r="AX15" s="120"/>
      <c r="AY15" s="120"/>
      <c r="AZ15" s="120"/>
      <c r="BA15" s="120"/>
    </row>
    <row r="16" spans="1:53" ht="17" thickBot="1" x14ac:dyDescent="0.25">
      <c r="A16" s="221" t="s">
        <v>753</v>
      </c>
      <c r="B16" s="222">
        <f>PV(B14,B13,-B11,0,0)</f>
        <v>10403.908787584885</v>
      </c>
      <c r="C16" s="222">
        <f>PV(C14,C13,-C11,0,0)</f>
        <v>7501.3206277623149</v>
      </c>
      <c r="D16" s="222">
        <f>PV(D14,D13,-D11,0,0)</f>
        <v>10506.300701198257</v>
      </c>
      <c r="E16" s="222">
        <f t="shared" ref="E16:G16" si="2">PV(E14,E13,-E11,0,0)</f>
        <v>10555.270746839436</v>
      </c>
      <c r="F16" s="222">
        <f t="shared" si="2"/>
        <v>10212.480427351187</v>
      </c>
      <c r="G16" s="222">
        <f t="shared" si="2"/>
        <v>10630.951726466712</v>
      </c>
      <c r="H16" s="222"/>
      <c r="I16" s="222">
        <f t="shared" ref="I16:J16" si="3">PV(I14,I13,-I11,0,0)</f>
        <v>12472.189960482603</v>
      </c>
      <c r="J16" s="222">
        <f t="shared" si="3"/>
        <v>13151.105292975872</v>
      </c>
      <c r="K16" s="223">
        <f>PV(K14,K13,-K11,0,0)</f>
        <v>13824.880519354379</v>
      </c>
      <c r="L16" s="122"/>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0"/>
      <c r="AR16" s="120"/>
      <c r="AS16" s="120"/>
      <c r="AT16" s="120"/>
      <c r="AU16" s="120"/>
      <c r="AV16" s="120"/>
      <c r="AW16" s="120"/>
      <c r="AX16" s="120"/>
      <c r="AY16" s="120"/>
      <c r="AZ16" s="120"/>
      <c r="BA16" s="120"/>
    </row>
    <row r="17" spans="1:53" x14ac:dyDescent="0.2">
      <c r="B17" s="120"/>
      <c r="C17" s="120"/>
      <c r="D17" s="120"/>
      <c r="E17" s="120"/>
      <c r="F17" s="120"/>
      <c r="G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20"/>
      <c r="AO17" s="120"/>
      <c r="AP17" s="120"/>
      <c r="AQ17" s="120"/>
      <c r="AR17" s="120"/>
      <c r="AS17" s="120"/>
      <c r="AT17" s="120"/>
      <c r="AU17" s="120"/>
      <c r="AV17" s="120"/>
      <c r="AW17" s="120"/>
      <c r="AX17" s="120"/>
      <c r="AY17" s="120"/>
      <c r="AZ17" s="120"/>
      <c r="BA17" s="120"/>
    </row>
    <row r="18" spans="1:53" ht="17" thickBot="1" x14ac:dyDescent="0.25">
      <c r="B18" s="120"/>
      <c r="C18" s="120"/>
      <c r="D18" s="120"/>
      <c r="E18" s="120"/>
      <c r="F18" s="120"/>
      <c r="G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row>
    <row r="19" spans="1:53" x14ac:dyDescent="0.2">
      <c r="A19" s="113" t="s">
        <v>751</v>
      </c>
      <c r="B19" s="128"/>
      <c r="C19" s="128"/>
      <c r="D19" s="128"/>
      <c r="E19" s="128"/>
      <c r="F19" s="128"/>
      <c r="G19" s="128"/>
      <c r="H19" s="217"/>
      <c r="I19" s="217"/>
      <c r="J19" s="217"/>
      <c r="K19" s="218"/>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row>
    <row r="20" spans="1:53" x14ac:dyDescent="0.2">
      <c r="A20" s="118"/>
      <c r="B20" s="120"/>
      <c r="C20" s="120"/>
      <c r="D20" s="120"/>
      <c r="E20" s="120"/>
      <c r="F20" s="120"/>
      <c r="G20" s="120"/>
      <c r="K20" s="219"/>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row>
    <row r="21" spans="1:53" x14ac:dyDescent="0.2">
      <c r="A21" s="118" t="s">
        <v>752</v>
      </c>
      <c r="B21" s="122">
        <f>Input!B63</f>
        <v>17790</v>
      </c>
      <c r="C21" s="122">
        <f>Input!C63</f>
        <v>15670</v>
      </c>
      <c r="D21" s="122">
        <f>Input!D63</f>
        <v>15357</v>
      </c>
      <c r="E21" s="122">
        <f>Input!E63</f>
        <v>15078</v>
      </c>
      <c r="F21" s="122">
        <f>Input!F63</f>
        <v>14841</v>
      </c>
      <c r="G21" s="122">
        <f>Input!G63</f>
        <v>14666</v>
      </c>
      <c r="H21" s="122"/>
      <c r="I21" s="122">
        <f>Input!I63</f>
        <v>54313.4</v>
      </c>
      <c r="J21" s="122">
        <f>Input!J63</f>
        <v>54313.8</v>
      </c>
      <c r="K21" s="123">
        <f>Input!K63</f>
        <v>54314.200000000004</v>
      </c>
      <c r="L21" s="122"/>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row>
    <row r="22" spans="1:53" x14ac:dyDescent="0.2">
      <c r="A22" s="118" t="s">
        <v>749</v>
      </c>
      <c r="B22" s="122">
        <f>NPER(B14,-B11,B21,0)</f>
        <v>9.2582231944799354</v>
      </c>
      <c r="C22" s="122">
        <f t="shared" ref="C22:G22" si="4">NPER(C14,-C11,C21,0)</f>
        <v>11.86098300911469</v>
      </c>
      <c r="D22" s="122">
        <f t="shared" si="4"/>
        <v>7.6871254190107408</v>
      </c>
      <c r="E22" s="122">
        <f t="shared" si="4"/>
        <v>7.4840739720186171</v>
      </c>
      <c r="F22" s="122">
        <f t="shared" si="4"/>
        <v>7.6351754285491094</v>
      </c>
      <c r="G22" s="122">
        <f t="shared" si="4"/>
        <v>7.1878922563013683</v>
      </c>
      <c r="H22" s="122"/>
      <c r="I22" s="122">
        <f t="shared" ref="I22:K22" si="5">NPER(I14,-I11,I21,0)</f>
        <v>38.085049105252928</v>
      </c>
      <c r="J22" s="122">
        <f t="shared" si="5"/>
        <v>33.902433509264476</v>
      </c>
      <c r="K22" s="123">
        <f t="shared" si="5"/>
        <v>30.663400562371102</v>
      </c>
      <c r="L22" s="122"/>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row>
    <row r="23" spans="1:53" x14ac:dyDescent="0.2">
      <c r="A23" s="118"/>
      <c r="B23" s="120"/>
      <c r="C23" s="120"/>
      <c r="D23" s="120"/>
      <c r="E23" s="120"/>
      <c r="F23" s="120"/>
      <c r="G23" s="120"/>
      <c r="H23" s="120"/>
      <c r="I23" s="120"/>
      <c r="J23" s="120"/>
      <c r="K23" s="121"/>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row>
    <row r="24" spans="1:53" x14ac:dyDescent="0.2">
      <c r="A24" s="115" t="s">
        <v>754</v>
      </c>
      <c r="B24" s="120"/>
      <c r="C24" s="120"/>
      <c r="D24" s="120"/>
      <c r="E24" s="120"/>
      <c r="F24" s="120"/>
      <c r="G24" s="120"/>
      <c r="H24" s="120"/>
      <c r="I24" s="120"/>
      <c r="J24" s="120"/>
      <c r="K24" s="121"/>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row>
    <row r="25" spans="1:53" ht="17" thickBot="1" x14ac:dyDescent="0.25">
      <c r="A25" s="127" t="s">
        <v>901</v>
      </c>
      <c r="B25" s="130">
        <f t="shared" ref="B25:G25" si="6">IF(FV(B14,B13,B11,-B21)&gt;=0,FV(B14,B13,B11,-B21),0)</f>
        <v>8986.3093109759866</v>
      </c>
      <c r="C25" s="130">
        <f t="shared" si="6"/>
        <v>9938.4474670079926</v>
      </c>
      <c r="D25" s="130">
        <f t="shared" si="6"/>
        <v>5901.6173805567869</v>
      </c>
      <c r="E25" s="130">
        <f t="shared" si="6"/>
        <v>5502.5916726271844</v>
      </c>
      <c r="F25" s="130">
        <f t="shared" si="6"/>
        <v>5631.3017718783849</v>
      </c>
      <c r="G25" s="130">
        <f t="shared" si="6"/>
        <v>4909.2531933183855</v>
      </c>
      <c r="H25" s="130"/>
      <c r="I25" s="130">
        <f t="shared" ref="I25:K25" si="7">IF(FV(I14,I13,I11,-I21)&gt;=0,FV(I14,I13,I11,-I21),0)</f>
        <v>50906.229634506868</v>
      </c>
      <c r="J25" s="130">
        <f t="shared" si="7"/>
        <v>50080.711985906048</v>
      </c>
      <c r="K25" s="131">
        <f t="shared" si="7"/>
        <v>49261.448062328382</v>
      </c>
      <c r="L25" s="122"/>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132"/>
      <c r="AJ25" s="132"/>
      <c r="AK25" s="132"/>
      <c r="AL25" s="132"/>
      <c r="AM25" s="132"/>
      <c r="AN25" s="132"/>
      <c r="AO25" s="132"/>
      <c r="AP25" s="132"/>
      <c r="AQ25" s="132"/>
      <c r="AR25" s="132"/>
      <c r="AS25" s="132"/>
      <c r="AT25" s="132"/>
      <c r="AU25" s="132"/>
      <c r="AV25" s="132"/>
      <c r="AW25" s="132"/>
      <c r="AX25" s="120"/>
      <c r="AY25" s="120"/>
      <c r="AZ25" s="120"/>
      <c r="BA25" s="120"/>
    </row>
    <row r="26" spans="1:53" x14ac:dyDescent="0.2">
      <c r="B26" s="120"/>
      <c r="C26" s="120"/>
      <c r="D26" s="120"/>
      <c r="E26" s="120"/>
      <c r="F26" s="120"/>
      <c r="G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row>
    <row r="27" spans="1:53" x14ac:dyDescent="0.2">
      <c r="B27" s="120"/>
      <c r="C27" s="120"/>
      <c r="D27" s="120"/>
      <c r="E27" s="120"/>
      <c r="F27" s="120"/>
      <c r="G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row>
    <row r="28" spans="1:53" ht="17" thickBot="1" x14ac:dyDescent="0.25">
      <c r="B28" s="120"/>
      <c r="C28" s="120"/>
      <c r="D28" s="120"/>
      <c r="E28" s="120"/>
      <c r="F28" s="120"/>
      <c r="G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row>
    <row r="29" spans="1:53" x14ac:dyDescent="0.2">
      <c r="A29" s="113" t="s">
        <v>755</v>
      </c>
      <c r="B29" s="128"/>
      <c r="C29" s="128"/>
      <c r="D29" s="128"/>
      <c r="E29" s="128"/>
      <c r="F29" s="128"/>
      <c r="G29" s="128"/>
      <c r="H29" s="217"/>
      <c r="I29" s="217"/>
      <c r="J29" s="217"/>
      <c r="K29" s="218"/>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20"/>
      <c r="AK29" s="120"/>
      <c r="AL29" s="120"/>
      <c r="AM29" s="120"/>
      <c r="AN29" s="120"/>
      <c r="AO29" s="120"/>
      <c r="AP29" s="120"/>
      <c r="AQ29" s="120"/>
      <c r="AR29" s="120"/>
      <c r="AS29" s="120"/>
      <c r="AT29" s="120"/>
      <c r="AU29" s="120"/>
      <c r="AV29" s="120"/>
      <c r="AW29" s="120"/>
      <c r="AX29" s="120"/>
      <c r="AY29" s="120"/>
      <c r="AZ29" s="120"/>
      <c r="BA29" s="120"/>
    </row>
    <row r="30" spans="1:53" x14ac:dyDescent="0.2">
      <c r="A30" s="118"/>
      <c r="B30" s="120"/>
      <c r="C30" s="120"/>
      <c r="D30" s="120"/>
      <c r="E30" s="120"/>
      <c r="F30" s="120"/>
      <c r="G30" s="120"/>
      <c r="K30" s="219"/>
      <c r="M30" s="120"/>
      <c r="N30" s="120"/>
      <c r="O30" s="120"/>
      <c r="P30" s="120"/>
      <c r="Q30" s="120"/>
      <c r="R30" s="120"/>
      <c r="S30" s="120"/>
      <c r="T30" s="120"/>
      <c r="U30" s="120"/>
      <c r="V30" s="120"/>
      <c r="W30" s="120"/>
      <c r="X30" s="120"/>
      <c r="Y30" s="120"/>
      <c r="Z30" s="120"/>
      <c r="AA30" s="120"/>
      <c r="AB30" s="120"/>
      <c r="AC30" s="120"/>
      <c r="AD30" s="120"/>
      <c r="AE30" s="120"/>
      <c r="AF30" s="120"/>
      <c r="AG30" s="120"/>
      <c r="AH30" s="120"/>
      <c r="AI30" s="120"/>
      <c r="AJ30" s="120"/>
      <c r="AK30" s="120"/>
      <c r="AL30" s="120"/>
      <c r="AM30" s="120"/>
      <c r="AN30" s="120"/>
      <c r="AO30" s="120"/>
      <c r="AP30" s="120"/>
      <c r="AQ30" s="120"/>
      <c r="AR30" s="120"/>
      <c r="AS30" s="120"/>
      <c r="AT30" s="120"/>
      <c r="AU30" s="120"/>
      <c r="AV30" s="120"/>
      <c r="AW30" s="120"/>
      <c r="AX30" s="120"/>
      <c r="AY30" s="120"/>
      <c r="AZ30" s="120"/>
      <c r="BA30" s="120"/>
    </row>
    <row r="31" spans="1:53" x14ac:dyDescent="0.2">
      <c r="A31" s="133" t="s">
        <v>756</v>
      </c>
      <c r="B31" s="210">
        <f t="shared" ref="B31:G31" si="8">PMT(B14,B13,-B21,0)</f>
        <v>3996.1163490410736</v>
      </c>
      <c r="C31" s="210">
        <f t="shared" si="8"/>
        <v>3519.9068684358417</v>
      </c>
      <c r="D31" s="210">
        <f t="shared" si="8"/>
        <v>3449.5985819125221</v>
      </c>
      <c r="E31" s="210">
        <f t="shared" si="8"/>
        <v>3386.9276172479658</v>
      </c>
      <c r="F31" s="210">
        <f t="shared" si="8"/>
        <v>3333.6909913501167</v>
      </c>
      <c r="G31" s="210">
        <f t="shared" si="8"/>
        <v>3294.381246488836</v>
      </c>
      <c r="H31" s="210"/>
      <c r="I31" s="210">
        <f t="shared" ref="I31:J31" si="9">PMT(I14,I13,-I21,0)</f>
        <v>12200.262265992549</v>
      </c>
      <c r="J31" s="210">
        <f t="shared" si="9"/>
        <v>12200.352116837947</v>
      </c>
      <c r="K31" s="134">
        <f>PMT(K14,K13,-K21,0)</f>
        <v>12200.441967683344</v>
      </c>
      <c r="L31" s="122"/>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0"/>
      <c r="AK31" s="120"/>
      <c r="AL31" s="120"/>
      <c r="AM31" s="120"/>
      <c r="AN31" s="120"/>
      <c r="AO31" s="120"/>
      <c r="AP31" s="120"/>
      <c r="AQ31" s="120"/>
      <c r="AR31" s="120"/>
      <c r="AS31" s="120"/>
      <c r="AT31" s="120"/>
      <c r="AU31" s="120"/>
      <c r="AV31" s="120"/>
      <c r="AW31" s="120"/>
      <c r="AX31" s="120"/>
      <c r="AY31" s="120"/>
      <c r="AZ31" s="120"/>
      <c r="BA31" s="120"/>
    </row>
    <row r="32" spans="1:53" ht="17" thickBot="1" x14ac:dyDescent="0.25">
      <c r="A32" s="127" t="s">
        <v>757</v>
      </c>
      <c r="B32" s="130">
        <f t="shared" ref="B32:G32" si="10">B9-B31</f>
        <v>-1659.1163490410736</v>
      </c>
      <c r="C32" s="130">
        <f t="shared" si="10"/>
        <v>-1834.9068684358417</v>
      </c>
      <c r="D32" s="130">
        <f t="shared" si="10"/>
        <v>-1089.5985819125221</v>
      </c>
      <c r="E32" s="130">
        <f t="shared" si="10"/>
        <v>-1015.9276172479658</v>
      </c>
      <c r="F32" s="130">
        <f t="shared" si="10"/>
        <v>-1039.6909913501167</v>
      </c>
      <c r="G32" s="130">
        <f t="shared" si="10"/>
        <v>-906.38124648883604</v>
      </c>
      <c r="H32" s="130"/>
      <c r="I32" s="130">
        <f t="shared" ref="I32:K32" si="11">I9-I31</f>
        <v>-9398.6702362325486</v>
      </c>
      <c r="J32" s="130">
        <f t="shared" si="11"/>
        <v>-9246.257295633819</v>
      </c>
      <c r="K32" s="131">
        <f t="shared" si="11"/>
        <v>-9094.9989622346984</v>
      </c>
      <c r="L32" s="122"/>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AN32" s="120"/>
      <c r="AO32" s="120"/>
      <c r="AP32" s="120"/>
      <c r="AQ32" s="120"/>
      <c r="AR32" s="120"/>
      <c r="AS32" s="120"/>
      <c r="AT32" s="120"/>
      <c r="AU32" s="120"/>
      <c r="AV32" s="120"/>
      <c r="AW32" s="120"/>
      <c r="AX32" s="120"/>
      <c r="AY32" s="120"/>
      <c r="AZ32" s="120"/>
      <c r="BA32" s="120"/>
    </row>
    <row r="33" spans="1:53" x14ac:dyDescent="0.2">
      <c r="A33" s="71" t="s">
        <v>758</v>
      </c>
      <c r="B33" s="209">
        <f>B32/Input!B75</f>
        <v>-2.8560643628807794E-2</v>
      </c>
      <c r="C33" s="209">
        <f>C32/Input!C75</f>
        <v>-3.1698081925749161E-2</v>
      </c>
      <c r="D33" s="209">
        <f>D32/Input!D75</f>
        <v>-1.7762105208537462E-2</v>
      </c>
      <c r="E33" s="209">
        <f>E32/Input!E75</f>
        <v>-1.5552610410703374E-2</v>
      </c>
      <c r="F33" s="209">
        <f>F32/Input!F75</f>
        <v>-1.524764238564707E-2</v>
      </c>
      <c r="G33" s="209">
        <f>G32/Input!G75</f>
        <v>-1.296386015345323E-2</v>
      </c>
      <c r="H33" s="209"/>
      <c r="I33" s="209">
        <f>I32/Input!I75</f>
        <v>-0.12792922658738354</v>
      </c>
      <c r="J33" s="209">
        <f>J32/Input!J75</f>
        <v>-0.11977033725459754</v>
      </c>
      <c r="K33" s="209">
        <f>K32/Input!K75</f>
        <v>-0.11211555930538118</v>
      </c>
      <c r="L33" s="209"/>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0"/>
      <c r="AW33" s="120"/>
      <c r="AX33" s="120"/>
      <c r="AY33" s="120"/>
      <c r="AZ33" s="120"/>
      <c r="BA33" s="120"/>
    </row>
    <row r="34" spans="1:53" x14ac:dyDescent="0.2">
      <c r="A34" s="71" t="s">
        <v>759</v>
      </c>
      <c r="B34" s="122">
        <f>B32/Input!B75*365</f>
        <v>-10.424634924514844</v>
      </c>
      <c r="C34" s="122">
        <f>C32/Input!C75*365</f>
        <v>-11.569799902898444</v>
      </c>
      <c r="D34" s="122">
        <f>D32/Input!D75*365</f>
        <v>-6.4831684011161732</v>
      </c>
      <c r="E34" s="122">
        <f>E32/Input!E75*365</f>
        <v>-5.6767027999067317</v>
      </c>
      <c r="F34" s="122">
        <f>F32/Input!F75*365</f>
        <v>-5.5653894707611808</v>
      </c>
      <c r="G34" s="122">
        <f>G32/Input!G75*365</f>
        <v>-4.7318089560104291</v>
      </c>
      <c r="H34" s="122"/>
      <c r="I34" s="122">
        <f>I32/Input!I75*365</f>
        <v>-46.694167704394992</v>
      </c>
      <c r="J34" s="122">
        <f>J32/Input!J75*365</f>
        <v>-43.716173097928106</v>
      </c>
      <c r="K34" s="122">
        <f>K32/Input!K75*365</f>
        <v>-40.922179146464131</v>
      </c>
      <c r="L34" s="122"/>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0"/>
      <c r="AQ34" s="120"/>
      <c r="AR34" s="120"/>
      <c r="AS34" s="120"/>
      <c r="AT34" s="120"/>
      <c r="AU34" s="120"/>
      <c r="AV34" s="120"/>
      <c r="AW34" s="120"/>
      <c r="AX34" s="120"/>
      <c r="AY34" s="120"/>
      <c r="AZ34" s="120"/>
      <c r="BA34" s="120"/>
    </row>
    <row r="35" spans="1:53" x14ac:dyDescent="0.2">
      <c r="A35" s="71" t="s">
        <v>760</v>
      </c>
      <c r="B35" s="120">
        <f t="shared" ref="B35:G35" si="12">NPER(B14,-B31,B21,0)</f>
        <v>4.9999999999999938</v>
      </c>
      <c r="C35" s="120">
        <f t="shared" si="12"/>
        <v>4.9999999999999982</v>
      </c>
      <c r="D35" s="120">
        <f t="shared" si="12"/>
        <v>4.9999999999999982</v>
      </c>
      <c r="E35" s="120">
        <f t="shared" si="12"/>
        <v>4.9999999999999938</v>
      </c>
      <c r="F35" s="120">
        <f t="shared" si="12"/>
        <v>4.9999999999999938</v>
      </c>
      <c r="G35" s="120">
        <f t="shared" si="12"/>
        <v>4.9999999999999938</v>
      </c>
      <c r="H35" s="120"/>
      <c r="I35" s="120">
        <f t="shared" ref="I35:K35" si="13">NPER(I14,-I31,I21,0)</f>
        <v>4.9999999999999938</v>
      </c>
      <c r="J35" s="120">
        <f t="shared" si="13"/>
        <v>4.9999999999999938</v>
      </c>
      <c r="K35" s="120">
        <f t="shared" si="13"/>
        <v>4.9999999999999982</v>
      </c>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AN35" s="120"/>
      <c r="AO35" s="120"/>
      <c r="AP35" s="120"/>
      <c r="AQ35" s="120"/>
      <c r="AR35" s="120"/>
      <c r="AS35" s="120"/>
      <c r="AT35" s="120"/>
      <c r="AU35" s="120"/>
      <c r="AV35" s="120"/>
      <c r="AW35" s="120"/>
      <c r="AX35" s="120"/>
      <c r="AY35" s="120"/>
      <c r="AZ35" s="120"/>
      <c r="BA35" s="120"/>
    </row>
    <row r="36" spans="1:53" ht="17" thickBot="1" x14ac:dyDescent="0.25">
      <c r="B36" s="120"/>
      <c r="C36" s="120"/>
      <c r="D36" s="120"/>
      <c r="E36" s="120"/>
      <c r="F36" s="120"/>
      <c r="G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0"/>
      <c r="AP36" s="120"/>
      <c r="AQ36" s="120"/>
      <c r="AR36" s="120"/>
      <c r="AS36" s="120"/>
      <c r="AT36" s="120"/>
      <c r="AU36" s="120"/>
      <c r="AV36" s="120"/>
      <c r="AW36" s="120"/>
      <c r="AX36" s="120"/>
      <c r="AY36" s="120"/>
      <c r="AZ36" s="120"/>
      <c r="BA36" s="120"/>
    </row>
    <row r="37" spans="1:53" x14ac:dyDescent="0.2">
      <c r="A37" s="113" t="s">
        <v>761</v>
      </c>
      <c r="B37" s="128"/>
      <c r="C37" s="128"/>
      <c r="D37" s="128"/>
      <c r="E37" s="128"/>
      <c r="F37" s="128"/>
      <c r="G37" s="128"/>
      <c r="H37" s="217"/>
      <c r="I37" s="217"/>
      <c r="J37" s="217"/>
      <c r="K37" s="218"/>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c r="AO37" s="120"/>
      <c r="AP37" s="120"/>
      <c r="AQ37" s="120"/>
      <c r="AR37" s="120"/>
      <c r="AS37" s="120"/>
      <c r="AT37" s="120"/>
      <c r="AU37" s="120"/>
      <c r="AV37" s="120"/>
      <c r="AW37" s="120"/>
      <c r="AX37" s="120"/>
      <c r="AY37" s="120"/>
      <c r="AZ37" s="120"/>
      <c r="BA37" s="120"/>
    </row>
    <row r="38" spans="1:53" x14ac:dyDescent="0.2">
      <c r="A38" s="118" t="s">
        <v>752</v>
      </c>
      <c r="B38" s="122">
        <f t="shared" ref="B38:G38" si="14">B21</f>
        <v>17790</v>
      </c>
      <c r="C38" s="122">
        <f t="shared" si="14"/>
        <v>15670</v>
      </c>
      <c r="D38" s="122">
        <f t="shared" si="14"/>
        <v>15357</v>
      </c>
      <c r="E38" s="122">
        <f t="shared" si="14"/>
        <v>15078</v>
      </c>
      <c r="F38" s="122">
        <f t="shared" si="14"/>
        <v>14841</v>
      </c>
      <c r="G38" s="122">
        <f t="shared" si="14"/>
        <v>14666</v>
      </c>
      <c r="H38" s="122"/>
      <c r="I38" s="122">
        <f t="shared" ref="I38:K38" si="15">I21</f>
        <v>54313.4</v>
      </c>
      <c r="J38" s="122">
        <f t="shared" si="15"/>
        <v>54313.8</v>
      </c>
      <c r="K38" s="123">
        <f t="shared" si="15"/>
        <v>54314.200000000004</v>
      </c>
      <c r="L38" s="122"/>
      <c r="M38" s="120"/>
      <c r="N38" s="135" t="s">
        <v>773</v>
      </c>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0"/>
      <c r="AN38" s="120"/>
      <c r="AO38" s="120"/>
      <c r="AP38" s="120"/>
      <c r="AQ38" s="120"/>
      <c r="AR38" s="120"/>
      <c r="AS38" s="120"/>
      <c r="AT38" s="120"/>
      <c r="AU38" s="120"/>
      <c r="AV38" s="120"/>
      <c r="AW38" s="120"/>
      <c r="AX38" s="120"/>
      <c r="AY38" s="120"/>
      <c r="AZ38" s="120"/>
      <c r="BA38" s="120"/>
    </row>
    <row r="39" spans="1:53" x14ac:dyDescent="0.2">
      <c r="A39" s="124" t="s">
        <v>762</v>
      </c>
      <c r="B39" s="208">
        <f t="shared" ref="B39:G39" si="16">B16</f>
        <v>10403.908787584885</v>
      </c>
      <c r="C39" s="208">
        <f t="shared" si="16"/>
        <v>7501.3206277623149</v>
      </c>
      <c r="D39" s="208">
        <f t="shared" si="16"/>
        <v>10506.300701198257</v>
      </c>
      <c r="E39" s="208">
        <f t="shared" si="16"/>
        <v>10555.270746839436</v>
      </c>
      <c r="F39" s="208">
        <f t="shared" si="16"/>
        <v>10212.480427351187</v>
      </c>
      <c r="G39" s="208">
        <f t="shared" si="16"/>
        <v>10630.951726466712</v>
      </c>
      <c r="H39" s="208"/>
      <c r="I39" s="208">
        <f t="shared" ref="I39:K39" si="17">I16</f>
        <v>12472.189960482603</v>
      </c>
      <c r="J39" s="208">
        <f t="shared" si="17"/>
        <v>13151.105292975872</v>
      </c>
      <c r="K39" s="125">
        <f t="shared" si="17"/>
        <v>13824.880519354379</v>
      </c>
      <c r="L39" s="122"/>
      <c r="M39" s="136">
        <f>K39/K38</f>
        <v>0.25453528762928257</v>
      </c>
      <c r="N39" s="73" t="s">
        <v>794</v>
      </c>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c r="AO39" s="120"/>
      <c r="AP39" s="120"/>
      <c r="AQ39" s="120"/>
      <c r="AR39" s="120"/>
      <c r="AS39" s="120"/>
      <c r="AT39" s="120"/>
      <c r="AU39" s="120"/>
      <c r="AV39" s="120"/>
      <c r="AW39" s="120"/>
      <c r="AX39" s="120"/>
      <c r="AY39" s="120"/>
      <c r="AZ39" s="120"/>
      <c r="BA39" s="120"/>
    </row>
    <row r="40" spans="1:53" x14ac:dyDescent="0.2">
      <c r="A40" s="137" t="s">
        <v>906</v>
      </c>
      <c r="B40" s="211">
        <f t="shared" ref="B40" si="18">B39-B38</f>
        <v>-7386.0912124151146</v>
      </c>
      <c r="C40" s="211">
        <f t="shared" ref="C40:D40" si="19">C39-C38</f>
        <v>-8168.6793722376851</v>
      </c>
      <c r="D40" s="211">
        <f t="shared" si="19"/>
        <v>-4850.6992988017428</v>
      </c>
      <c r="E40" s="211">
        <f t="shared" ref="E40" si="20">E39-E38</f>
        <v>-4522.7292531605635</v>
      </c>
      <c r="F40" s="211">
        <f t="shared" ref="F40" si="21">F39-F38</f>
        <v>-4628.5195726488128</v>
      </c>
      <c r="G40" s="211">
        <f t="shared" ref="G40:K40" si="22">G39-G38</f>
        <v>-4035.048273533288</v>
      </c>
      <c r="H40" s="211"/>
      <c r="I40" s="211">
        <f t="shared" si="22"/>
        <v>-41841.210039517398</v>
      </c>
      <c r="J40" s="211">
        <f t="shared" si="22"/>
        <v>-41162.694707024129</v>
      </c>
      <c r="K40" s="138">
        <f t="shared" si="22"/>
        <v>-40489.319480645623</v>
      </c>
      <c r="L40" s="122"/>
      <c r="M40" s="139">
        <f>IF(K40/K38&gt;0,0,K40/K38)</f>
        <v>-0.74546471237071743</v>
      </c>
      <c r="N40" s="73" t="s">
        <v>841</v>
      </c>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c r="AO40" s="120"/>
      <c r="AP40" s="120"/>
      <c r="AQ40" s="120"/>
      <c r="AR40" s="120"/>
      <c r="AS40" s="120"/>
      <c r="AT40" s="120"/>
      <c r="AU40" s="120"/>
      <c r="AV40" s="120"/>
      <c r="AW40" s="120"/>
      <c r="AX40" s="120"/>
      <c r="AY40" s="120"/>
      <c r="AZ40" s="120"/>
      <c r="BA40" s="120"/>
    </row>
    <row r="41" spans="1:53" x14ac:dyDescent="0.2">
      <c r="A41" s="118" t="s">
        <v>758</v>
      </c>
      <c r="B41" s="209">
        <f>B40/Input!B75</f>
        <v>-0.12714691109492202</v>
      </c>
      <c r="C41" s="209">
        <f>C40/Input!C75</f>
        <v>-0.14111422896743112</v>
      </c>
      <c r="D41" s="209">
        <f>D40/Input!D75</f>
        <v>-7.9073736613226114E-2</v>
      </c>
      <c r="E41" s="209">
        <f>E40/Input!E75</f>
        <v>-6.9237458331964166E-2</v>
      </c>
      <c r="F41" s="209">
        <f>F40/Input!F75</f>
        <v>-6.7879794867772639E-2</v>
      </c>
      <c r="G41" s="209">
        <f>G40/Input!G75</f>
        <v>-5.7712802127314035E-2</v>
      </c>
      <c r="H41" s="209"/>
      <c r="I41" s="209">
        <f>I40/Input!I75</f>
        <v>-0.56951818771134588</v>
      </c>
      <c r="J41" s="209">
        <f>J40/Input!J75</f>
        <v>-0.53319626198335934</v>
      </c>
      <c r="K41" s="126">
        <f>K40/Input!K75</f>
        <v>-0.49911855057006743</v>
      </c>
      <c r="L41" s="209"/>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row>
    <row r="42" spans="1:53" x14ac:dyDescent="0.2">
      <c r="A42" s="118" t="s">
        <v>759</v>
      </c>
      <c r="B42" s="122">
        <f>B40/Input!B75*365</f>
        <v>-46.408622549646537</v>
      </c>
      <c r="C42" s="122">
        <f>C40/Input!C75*365</f>
        <v>-51.506693573112358</v>
      </c>
      <c r="D42" s="122">
        <f>D40/Input!D75*365</f>
        <v>-28.861913863827532</v>
      </c>
      <c r="E42" s="122">
        <f>E40/Input!E75*365</f>
        <v>-25.271672291166922</v>
      </c>
      <c r="F42" s="122">
        <f>F40/Input!F75*365</f>
        <v>-24.776125126737014</v>
      </c>
      <c r="G42" s="122">
        <f>G40/Input!G75*365</f>
        <v>-21.065172776469623</v>
      </c>
      <c r="H42" s="122"/>
      <c r="I42" s="122">
        <f>I40/Input!I75*365</f>
        <v>-207.87413851464126</v>
      </c>
      <c r="J42" s="122">
        <f>J40/Input!J75*365</f>
        <v>-194.61663562392616</v>
      </c>
      <c r="K42" s="123">
        <f>K40/Input!K75*365</f>
        <v>-182.17827095807462</v>
      </c>
      <c r="L42" s="122"/>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row>
    <row r="43" spans="1:53" x14ac:dyDescent="0.2">
      <c r="A43" s="118"/>
      <c r="B43" s="120"/>
      <c r="C43" s="120"/>
      <c r="D43" s="120"/>
      <c r="E43" s="120"/>
      <c r="F43" s="120"/>
      <c r="G43" s="120"/>
      <c r="H43" s="120"/>
      <c r="I43" s="120"/>
      <c r="J43" s="120"/>
      <c r="K43" s="121"/>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row>
    <row r="44" spans="1:53" x14ac:dyDescent="0.2">
      <c r="A44" s="140" t="s">
        <v>711</v>
      </c>
      <c r="B44" s="212"/>
      <c r="C44" s="212"/>
      <c r="D44" s="212"/>
      <c r="E44" s="212"/>
      <c r="F44" s="212"/>
      <c r="G44" s="212"/>
      <c r="H44" s="212"/>
      <c r="I44" s="212"/>
      <c r="J44" s="212"/>
      <c r="K44" s="141"/>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row>
    <row r="45" spans="1:53" x14ac:dyDescent="0.2">
      <c r="A45" s="140" t="s">
        <v>904</v>
      </c>
      <c r="B45" s="213">
        <f>B39/B38</f>
        <v>0.58481780705929653</v>
      </c>
      <c r="C45" s="213">
        <f t="shared" ref="C45:G45" si="23">C39/C38</f>
        <v>0.47870584733645916</v>
      </c>
      <c r="D45" s="213">
        <f t="shared" si="23"/>
        <v>0.68413757252056118</v>
      </c>
      <c r="E45" s="213">
        <f t="shared" si="23"/>
        <v>0.70004448513326945</v>
      </c>
      <c r="F45" s="213">
        <f t="shared" si="23"/>
        <v>0.68812616584806863</v>
      </c>
      <c r="G45" s="213">
        <f t="shared" si="23"/>
        <v>0.72487056637574743</v>
      </c>
      <c r="H45" s="213"/>
      <c r="I45" s="213">
        <f t="shared" ref="I45:K45" si="24">I39/I38</f>
        <v>0.22963375447831663</v>
      </c>
      <c r="J45" s="213">
        <f t="shared" si="24"/>
        <v>0.24213193135033584</v>
      </c>
      <c r="K45" s="142">
        <f t="shared" si="24"/>
        <v>0.25453528762928257</v>
      </c>
      <c r="L45" s="209"/>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row>
    <row r="46" spans="1:53" x14ac:dyDescent="0.2">
      <c r="A46" s="118"/>
      <c r="B46" s="120"/>
      <c r="C46" s="120"/>
      <c r="D46" s="120"/>
      <c r="E46" s="120"/>
      <c r="F46" s="120"/>
      <c r="G46" s="120"/>
      <c r="H46" s="120"/>
      <c r="I46" s="120"/>
      <c r="J46" s="120"/>
      <c r="K46" s="121"/>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row>
    <row r="47" spans="1:53" x14ac:dyDescent="0.2">
      <c r="A47" s="118" t="s">
        <v>763</v>
      </c>
      <c r="B47" s="120"/>
      <c r="C47" s="120"/>
      <c r="D47" s="120"/>
      <c r="E47" s="120"/>
      <c r="F47" s="120"/>
      <c r="G47" s="120"/>
      <c r="H47" s="120"/>
      <c r="I47" s="120"/>
      <c r="J47" s="120"/>
      <c r="K47" s="121"/>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row>
    <row r="48" spans="1:53" x14ac:dyDescent="0.2">
      <c r="A48" s="118" t="str">
        <f>Input!A107</f>
        <v>Cash (Collateralised)</v>
      </c>
      <c r="B48" s="71">
        <f>Input!B107</f>
        <v>0</v>
      </c>
      <c r="C48" s="71">
        <f>Input!C107</f>
        <v>0</v>
      </c>
      <c r="D48" s="71">
        <f>Input!D107</f>
        <v>0</v>
      </c>
      <c r="E48" s="71">
        <f>Input!E107</f>
        <v>0</v>
      </c>
      <c r="F48" s="71">
        <f>Input!F107</f>
        <v>0</v>
      </c>
      <c r="G48" s="71">
        <f>Input!G107</f>
        <v>0</v>
      </c>
      <c r="H48" s="71"/>
      <c r="I48" s="71">
        <f>Input!I107</f>
        <v>0</v>
      </c>
      <c r="J48" s="71">
        <f>Input!J107</f>
        <v>0</v>
      </c>
      <c r="K48" s="143">
        <f>Input!K107</f>
        <v>0</v>
      </c>
      <c r="L48" s="71"/>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row>
    <row r="49" spans="1:53" x14ac:dyDescent="0.2">
      <c r="A49" s="118" t="str">
        <f>Input!A108</f>
        <v>Properties/L&amp;B (Mortgaged)</v>
      </c>
      <c r="B49" s="71">
        <f>Input!B108</f>
        <v>0</v>
      </c>
      <c r="C49" s="71">
        <f>Input!C108</f>
        <v>0</v>
      </c>
      <c r="D49" s="71">
        <f>Input!D108</f>
        <v>0</v>
      </c>
      <c r="E49" s="71">
        <f>Input!E108</f>
        <v>0</v>
      </c>
      <c r="F49" s="71">
        <f>Input!F108</f>
        <v>0</v>
      </c>
      <c r="G49" s="71">
        <f>Input!G108</f>
        <v>0</v>
      </c>
      <c r="H49" s="71"/>
      <c r="I49" s="71">
        <f>Input!I108</f>
        <v>0</v>
      </c>
      <c r="J49" s="71">
        <f>Input!J108</f>
        <v>0</v>
      </c>
      <c r="K49" s="143">
        <f>Input!K108</f>
        <v>0</v>
      </c>
      <c r="L49" s="71"/>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row>
    <row r="50" spans="1:53" x14ac:dyDescent="0.2">
      <c r="A50" s="118" t="str">
        <f>Input!A109</f>
        <v>Other Assets (Collateralised)</v>
      </c>
      <c r="B50" s="71">
        <f>Input!B109</f>
        <v>0</v>
      </c>
      <c r="C50" s="71">
        <f>Input!C109</f>
        <v>0</v>
      </c>
      <c r="D50" s="71">
        <f>Input!D109</f>
        <v>0</v>
      </c>
      <c r="E50" s="71">
        <f>Input!E109</f>
        <v>0</v>
      </c>
      <c r="F50" s="71">
        <f>Input!F109</f>
        <v>0</v>
      </c>
      <c r="G50" s="71">
        <f>Input!G109</f>
        <v>0</v>
      </c>
      <c r="H50" s="71"/>
      <c r="I50" s="71">
        <f>Input!I109</f>
        <v>0</v>
      </c>
      <c r="J50" s="71">
        <f>Input!J109</f>
        <v>0</v>
      </c>
      <c r="K50" s="143">
        <f>Input!K109</f>
        <v>0</v>
      </c>
      <c r="L50" s="71"/>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row>
    <row r="51" spans="1:53" x14ac:dyDescent="0.2">
      <c r="A51" s="118">
        <f>Input!A110</f>
        <v>0</v>
      </c>
      <c r="B51" s="71">
        <f>Input!B110</f>
        <v>0</v>
      </c>
      <c r="C51" s="71">
        <f>Input!C110</f>
        <v>0</v>
      </c>
      <c r="D51" s="71">
        <f>Input!D110</f>
        <v>0</v>
      </c>
      <c r="E51" s="71">
        <f>Input!E110</f>
        <v>0</v>
      </c>
      <c r="F51" s="71">
        <f>Input!F110</f>
        <v>0</v>
      </c>
      <c r="G51" s="71">
        <f>Input!G110</f>
        <v>0</v>
      </c>
      <c r="H51" s="71"/>
      <c r="I51" s="71">
        <f>Input!I110</f>
        <v>0</v>
      </c>
      <c r="J51" s="71">
        <f>Input!J110</f>
        <v>0</v>
      </c>
      <c r="K51" s="143">
        <f>Input!K110</f>
        <v>0</v>
      </c>
      <c r="L51" s="71"/>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row>
    <row r="52" spans="1:53" x14ac:dyDescent="0.2">
      <c r="A52" s="118">
        <f>Input!A111</f>
        <v>0</v>
      </c>
      <c r="B52" s="71">
        <f>Input!B111</f>
        <v>0</v>
      </c>
      <c r="C52" s="71">
        <f>Input!C111</f>
        <v>0</v>
      </c>
      <c r="D52" s="71">
        <f>Input!D111</f>
        <v>0</v>
      </c>
      <c r="E52" s="71">
        <f>Input!E111</f>
        <v>0</v>
      </c>
      <c r="F52" s="71">
        <f>Input!F111</f>
        <v>0</v>
      </c>
      <c r="G52" s="71">
        <f>Input!G111</f>
        <v>0</v>
      </c>
      <c r="H52" s="71"/>
      <c r="I52" s="71">
        <f>Input!I111</f>
        <v>0</v>
      </c>
      <c r="J52" s="71">
        <f>Input!J111</f>
        <v>0</v>
      </c>
      <c r="K52" s="143">
        <f>Input!K111</f>
        <v>0</v>
      </c>
      <c r="L52" s="71"/>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c r="AL52" s="120"/>
      <c r="AM52" s="120"/>
      <c r="AN52" s="120"/>
      <c r="AO52" s="120"/>
      <c r="AP52" s="120"/>
      <c r="AQ52" s="120"/>
      <c r="AR52" s="120"/>
      <c r="AS52" s="120"/>
      <c r="AT52" s="120"/>
      <c r="AU52" s="120"/>
      <c r="AV52" s="120"/>
      <c r="AW52" s="120"/>
      <c r="AX52" s="120"/>
      <c r="AY52" s="120"/>
      <c r="AZ52" s="120"/>
      <c r="BA52" s="120"/>
    </row>
    <row r="53" spans="1:53" x14ac:dyDescent="0.2">
      <c r="A53" s="144" t="s">
        <v>354</v>
      </c>
      <c r="B53" s="214">
        <f t="shared" ref="B53:G53" si="25">SUM(B48:B52)</f>
        <v>0</v>
      </c>
      <c r="C53" s="214">
        <f t="shared" si="25"/>
        <v>0</v>
      </c>
      <c r="D53" s="214">
        <f t="shared" si="25"/>
        <v>0</v>
      </c>
      <c r="E53" s="214">
        <f t="shared" si="25"/>
        <v>0</v>
      </c>
      <c r="F53" s="214">
        <f t="shared" si="25"/>
        <v>0</v>
      </c>
      <c r="G53" s="214">
        <f t="shared" si="25"/>
        <v>0</v>
      </c>
      <c r="H53" s="214"/>
      <c r="I53" s="214">
        <f t="shared" ref="I53:K53" si="26">SUM(I48:I52)</f>
        <v>0</v>
      </c>
      <c r="J53" s="214">
        <f t="shared" si="26"/>
        <v>0</v>
      </c>
      <c r="K53" s="145">
        <f t="shared" si="26"/>
        <v>0</v>
      </c>
      <c r="L53" s="15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c r="AL53" s="120"/>
      <c r="AM53" s="120"/>
      <c r="AN53" s="120"/>
      <c r="AO53" s="120"/>
      <c r="AP53" s="120"/>
      <c r="AQ53" s="120"/>
      <c r="AR53" s="120"/>
      <c r="AS53" s="120"/>
      <c r="AT53" s="120"/>
      <c r="AU53" s="120"/>
      <c r="AV53" s="120"/>
      <c r="AW53" s="120"/>
      <c r="AX53" s="120"/>
      <c r="AY53" s="120"/>
      <c r="AZ53" s="120"/>
      <c r="BA53" s="120"/>
    </row>
    <row r="54" spans="1:53" x14ac:dyDescent="0.2">
      <c r="A54" s="118"/>
      <c r="B54" s="120"/>
      <c r="C54" s="120"/>
      <c r="D54" s="120"/>
      <c r="E54" s="120"/>
      <c r="F54" s="120"/>
      <c r="G54" s="120"/>
      <c r="H54" s="120"/>
      <c r="I54" s="120"/>
      <c r="J54" s="120"/>
      <c r="K54" s="121"/>
      <c r="L54" s="120"/>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0"/>
      <c r="AJ54" s="120"/>
      <c r="AK54" s="120"/>
      <c r="AL54" s="120"/>
      <c r="AM54" s="120"/>
      <c r="AN54" s="120"/>
      <c r="AO54" s="120"/>
      <c r="AP54" s="120"/>
      <c r="AQ54" s="120"/>
      <c r="AR54" s="120"/>
      <c r="AS54" s="120"/>
      <c r="AT54" s="120"/>
      <c r="AU54" s="120"/>
      <c r="AV54" s="120"/>
      <c r="AW54" s="120"/>
      <c r="AX54" s="120"/>
      <c r="AY54" s="120"/>
      <c r="AZ54" s="120"/>
      <c r="BA54" s="120"/>
    </row>
    <row r="55" spans="1:53" ht="17" thickBot="1" x14ac:dyDescent="0.25">
      <c r="A55" s="127" t="s">
        <v>905</v>
      </c>
      <c r="B55" s="130">
        <f>B40+B53</f>
        <v>-7386.0912124151146</v>
      </c>
      <c r="C55" s="130">
        <f t="shared" ref="C55:G55" si="27">C40+C53</f>
        <v>-8168.6793722376851</v>
      </c>
      <c r="D55" s="130">
        <f t="shared" si="27"/>
        <v>-4850.6992988017428</v>
      </c>
      <c r="E55" s="130">
        <f t="shared" si="27"/>
        <v>-4522.7292531605635</v>
      </c>
      <c r="F55" s="130">
        <f t="shared" si="27"/>
        <v>-4628.5195726488128</v>
      </c>
      <c r="G55" s="130">
        <f t="shared" si="27"/>
        <v>-4035.048273533288</v>
      </c>
      <c r="H55" s="130"/>
      <c r="I55" s="130">
        <f t="shared" ref="I55:J55" si="28">I40+I53</f>
        <v>-41841.210039517398</v>
      </c>
      <c r="J55" s="130">
        <f t="shared" si="28"/>
        <v>-41162.694707024129</v>
      </c>
      <c r="K55" s="131">
        <f>K40+K53</f>
        <v>-40489.319480645623</v>
      </c>
      <c r="L55" s="122"/>
      <c r="M55" s="120"/>
      <c r="N55" s="120"/>
      <c r="O55" s="120"/>
      <c r="P55" s="120"/>
      <c r="Q55" s="120"/>
      <c r="R55" s="120"/>
      <c r="S55" s="120"/>
      <c r="T55" s="120"/>
      <c r="U55" s="120"/>
      <c r="V55" s="120"/>
      <c r="W55" s="120"/>
      <c r="X55" s="120"/>
      <c r="Y55" s="120"/>
      <c r="Z55" s="120"/>
      <c r="AA55" s="120"/>
      <c r="AB55" s="120"/>
      <c r="AC55" s="120"/>
      <c r="AD55" s="120"/>
      <c r="AE55" s="120"/>
      <c r="AF55" s="120"/>
      <c r="AG55" s="120"/>
      <c r="AH55" s="120"/>
      <c r="AI55" s="120"/>
      <c r="AJ55" s="120"/>
      <c r="AK55" s="120"/>
      <c r="AL55" s="120"/>
      <c r="AM55" s="120"/>
      <c r="AN55" s="120"/>
      <c r="AO55" s="120"/>
      <c r="AP55" s="120"/>
      <c r="AQ55" s="120"/>
      <c r="AR55" s="120"/>
      <c r="AS55" s="120"/>
      <c r="AT55" s="120"/>
      <c r="AU55" s="120"/>
      <c r="AV55" s="120"/>
      <c r="AW55" s="120"/>
      <c r="AX55" s="120"/>
      <c r="AY55" s="120"/>
      <c r="AZ55" s="120"/>
      <c r="BA55" s="120"/>
    </row>
    <row r="56" spans="1:53" ht="17" thickBot="1" x14ac:dyDescent="0.25">
      <c r="B56" s="120"/>
      <c r="C56" s="120"/>
      <c r="D56" s="120"/>
      <c r="E56" s="120"/>
      <c r="F56" s="120"/>
      <c r="G56" s="120"/>
      <c r="M56" s="120"/>
      <c r="N56" s="120"/>
      <c r="O56" s="120"/>
      <c r="P56" s="120"/>
      <c r="Q56" s="120"/>
      <c r="R56" s="120"/>
      <c r="S56" s="120"/>
      <c r="T56" s="120"/>
      <c r="U56" s="120"/>
      <c r="V56" s="120"/>
      <c r="W56" s="120"/>
      <c r="X56" s="120"/>
      <c r="Y56" s="120"/>
      <c r="Z56" s="120"/>
      <c r="AA56" s="120"/>
      <c r="AB56" s="120"/>
      <c r="AC56" s="120"/>
      <c r="AD56" s="120"/>
      <c r="AE56" s="120"/>
      <c r="AF56" s="120"/>
      <c r="AG56" s="120"/>
      <c r="AH56" s="120"/>
      <c r="AI56" s="120"/>
      <c r="AJ56" s="120"/>
      <c r="AK56" s="120"/>
      <c r="AL56" s="120"/>
      <c r="AM56" s="120"/>
      <c r="AN56" s="120"/>
      <c r="AO56" s="120"/>
      <c r="AP56" s="120"/>
      <c r="AQ56" s="120"/>
      <c r="AR56" s="120"/>
      <c r="AS56" s="120"/>
      <c r="AT56" s="120"/>
      <c r="AU56" s="120"/>
      <c r="AV56" s="120"/>
      <c r="AW56" s="120"/>
      <c r="AX56" s="120"/>
      <c r="AY56" s="120"/>
      <c r="AZ56" s="120"/>
      <c r="BA56" s="120"/>
    </row>
    <row r="57" spans="1:53" x14ac:dyDescent="0.2">
      <c r="A57" s="113" t="s">
        <v>764</v>
      </c>
      <c r="B57" s="146" t="s">
        <v>765</v>
      </c>
      <c r="C57" s="128"/>
      <c r="D57" s="128"/>
      <c r="E57" s="128"/>
      <c r="F57" s="128"/>
      <c r="G57" s="128"/>
      <c r="H57" s="128"/>
      <c r="I57" s="128"/>
      <c r="J57" s="128"/>
      <c r="K57" s="129"/>
      <c r="L57" s="120"/>
      <c r="M57" s="120"/>
      <c r="N57" s="120"/>
      <c r="O57" s="120"/>
      <c r="P57" s="120"/>
      <c r="Q57" s="120"/>
      <c r="R57" s="120"/>
      <c r="S57" s="120"/>
      <c r="T57" s="120"/>
      <c r="U57" s="120"/>
      <c r="V57" s="120"/>
      <c r="W57" s="120"/>
      <c r="X57" s="120"/>
      <c r="Y57" s="120"/>
      <c r="Z57" s="120"/>
      <c r="AA57" s="120"/>
      <c r="AB57" s="120"/>
      <c r="AC57" s="120"/>
      <c r="AD57" s="120"/>
      <c r="AE57" s="120"/>
      <c r="AF57" s="120"/>
      <c r="AG57" s="120"/>
      <c r="AH57" s="120"/>
      <c r="AI57" s="120"/>
      <c r="AJ57" s="120"/>
      <c r="AK57" s="120"/>
      <c r="AL57" s="120"/>
      <c r="AM57" s="120"/>
      <c r="AN57" s="120"/>
      <c r="AO57" s="120"/>
      <c r="AP57" s="120"/>
      <c r="AQ57" s="120"/>
      <c r="AR57" s="120"/>
      <c r="AS57" s="120"/>
      <c r="AT57" s="120"/>
      <c r="AU57" s="120"/>
      <c r="AV57" s="120"/>
      <c r="AW57" s="120"/>
      <c r="AX57" s="120"/>
      <c r="AY57" s="120"/>
      <c r="AZ57" s="120"/>
      <c r="BA57" s="120"/>
    </row>
    <row r="58" spans="1:53" x14ac:dyDescent="0.2">
      <c r="A58" s="118"/>
      <c r="B58" s="73" t="s">
        <v>766</v>
      </c>
      <c r="C58" s="120"/>
      <c r="D58" s="120"/>
      <c r="E58" s="120"/>
      <c r="F58" s="120"/>
      <c r="G58" s="120"/>
      <c r="H58" s="120"/>
      <c r="I58" s="120"/>
      <c r="J58" s="120"/>
      <c r="K58" s="121"/>
      <c r="L58" s="120"/>
      <c r="M58" s="120"/>
      <c r="N58" s="120"/>
      <c r="O58" s="120"/>
      <c r="P58" s="120"/>
      <c r="Q58" s="120"/>
      <c r="R58" s="120"/>
      <c r="S58" s="120"/>
      <c r="T58" s="120"/>
      <c r="U58" s="120"/>
      <c r="V58" s="120"/>
      <c r="W58" s="120"/>
      <c r="X58" s="120"/>
      <c r="Y58" s="120"/>
      <c r="Z58" s="120"/>
      <c r="AA58" s="120"/>
      <c r="AB58" s="120"/>
      <c r="AC58" s="120"/>
      <c r="AD58" s="120"/>
      <c r="AE58" s="120"/>
      <c r="AF58" s="120"/>
      <c r="AG58" s="120"/>
      <c r="AH58" s="120"/>
      <c r="AI58" s="120"/>
      <c r="AJ58" s="120"/>
      <c r="AK58" s="120"/>
      <c r="AL58" s="120"/>
      <c r="AM58" s="120"/>
      <c r="AN58" s="120"/>
      <c r="AO58" s="120"/>
      <c r="AP58" s="120"/>
      <c r="AQ58" s="120"/>
      <c r="AR58" s="120"/>
      <c r="AS58" s="120"/>
      <c r="AT58" s="120"/>
      <c r="AU58" s="120"/>
      <c r="AV58" s="120"/>
      <c r="AW58" s="120"/>
      <c r="AX58" s="120"/>
      <c r="AY58" s="120"/>
      <c r="AZ58" s="120"/>
      <c r="BA58" s="120"/>
    </row>
    <row r="59" spans="1:53" x14ac:dyDescent="0.2">
      <c r="A59" s="118">
        <f>Input!A99</f>
        <v>0</v>
      </c>
      <c r="B59" s="71">
        <f>Input!B99</f>
        <v>0</v>
      </c>
      <c r="C59" s="71">
        <f>Input!C99</f>
        <v>0</v>
      </c>
      <c r="D59" s="71">
        <f>Input!D99</f>
        <v>0</v>
      </c>
      <c r="E59" s="71">
        <f>Input!E99</f>
        <v>0</v>
      </c>
      <c r="F59" s="71">
        <f>Input!F99</f>
        <v>0</v>
      </c>
      <c r="G59" s="71">
        <f>Input!G99</f>
        <v>0</v>
      </c>
      <c r="H59" s="71"/>
      <c r="I59" s="71">
        <f>Input!I99</f>
        <v>0</v>
      </c>
      <c r="J59" s="71">
        <f>Input!J99</f>
        <v>0</v>
      </c>
      <c r="K59" s="143">
        <f>Input!K99</f>
        <v>0</v>
      </c>
      <c r="L59" s="71"/>
      <c r="M59" s="120"/>
      <c r="N59" s="120"/>
      <c r="O59" s="120"/>
      <c r="P59" s="120"/>
      <c r="Q59" s="120"/>
      <c r="R59" s="120"/>
      <c r="S59" s="120"/>
      <c r="T59" s="120"/>
      <c r="U59" s="120"/>
      <c r="V59" s="120"/>
      <c r="W59" s="120"/>
      <c r="X59" s="120"/>
      <c r="Y59" s="120"/>
      <c r="Z59" s="120"/>
      <c r="AA59" s="120"/>
      <c r="AB59" s="120"/>
      <c r="AC59" s="120"/>
      <c r="AD59" s="120"/>
      <c r="AE59" s="120"/>
      <c r="AF59" s="120"/>
      <c r="AG59" s="120"/>
      <c r="AH59" s="120"/>
      <c r="AI59" s="120"/>
      <c r="AJ59" s="120"/>
      <c r="AK59" s="120"/>
      <c r="AL59" s="120"/>
      <c r="AM59" s="120"/>
      <c r="AN59" s="120"/>
      <c r="AO59" s="120"/>
      <c r="AP59" s="120"/>
      <c r="AQ59" s="120"/>
      <c r="AR59" s="120"/>
      <c r="AS59" s="120"/>
      <c r="AT59" s="120"/>
      <c r="AU59" s="120"/>
      <c r="AV59" s="120"/>
      <c r="AW59" s="120"/>
      <c r="AX59" s="120"/>
      <c r="AY59" s="120"/>
      <c r="AZ59" s="120"/>
      <c r="BA59" s="120"/>
    </row>
    <row r="60" spans="1:53" x14ac:dyDescent="0.2">
      <c r="A60" s="118">
        <f>Input!A100</f>
        <v>0</v>
      </c>
      <c r="B60" s="71">
        <f>Input!B100</f>
        <v>0</v>
      </c>
      <c r="C60" s="71">
        <f>Input!C100</f>
        <v>0</v>
      </c>
      <c r="D60" s="71">
        <f>Input!D100</f>
        <v>0</v>
      </c>
      <c r="E60" s="71">
        <f>Input!E100</f>
        <v>0</v>
      </c>
      <c r="F60" s="71">
        <f>Input!F100</f>
        <v>0</v>
      </c>
      <c r="G60" s="71">
        <f>Input!G100</f>
        <v>0</v>
      </c>
      <c r="H60" s="71"/>
      <c r="I60" s="71">
        <f>Input!I100</f>
        <v>0</v>
      </c>
      <c r="J60" s="71">
        <f>Input!J100</f>
        <v>0</v>
      </c>
      <c r="K60" s="143">
        <f>Input!K100</f>
        <v>0</v>
      </c>
      <c r="L60" s="71"/>
      <c r="M60" s="120"/>
      <c r="N60" s="120"/>
      <c r="O60" s="120"/>
      <c r="P60" s="120"/>
      <c r="Q60" s="120"/>
      <c r="R60" s="120"/>
      <c r="S60" s="120"/>
      <c r="T60" s="120"/>
      <c r="U60" s="120"/>
      <c r="V60" s="120"/>
      <c r="W60" s="120"/>
      <c r="X60" s="120"/>
      <c r="Y60" s="120"/>
      <c r="Z60" s="120"/>
      <c r="AA60" s="120"/>
      <c r="AB60" s="120"/>
      <c r="AC60" s="120"/>
      <c r="AD60" s="120"/>
      <c r="AE60" s="120"/>
      <c r="AF60" s="120"/>
      <c r="AG60" s="120"/>
      <c r="AH60" s="120"/>
      <c r="AI60" s="120"/>
      <c r="AJ60" s="120"/>
      <c r="AK60" s="120"/>
      <c r="AL60" s="120"/>
      <c r="AM60" s="120"/>
      <c r="AN60" s="120"/>
      <c r="AO60" s="120"/>
      <c r="AP60" s="120"/>
      <c r="AQ60" s="120"/>
      <c r="AR60" s="120"/>
      <c r="AS60" s="120"/>
      <c r="AT60" s="120"/>
      <c r="AU60" s="120"/>
      <c r="AV60" s="120"/>
      <c r="AW60" s="120"/>
      <c r="AX60" s="120"/>
      <c r="AY60" s="120"/>
      <c r="AZ60" s="120"/>
      <c r="BA60" s="120"/>
    </row>
    <row r="61" spans="1:53" x14ac:dyDescent="0.2">
      <c r="A61" s="118">
        <f>Input!A101</f>
        <v>0</v>
      </c>
      <c r="B61" s="71">
        <f>Input!B101</f>
        <v>0</v>
      </c>
      <c r="C61" s="71">
        <f>Input!C101</f>
        <v>0</v>
      </c>
      <c r="D61" s="71">
        <f>Input!D101</f>
        <v>0</v>
      </c>
      <c r="E61" s="71">
        <f>Input!E101</f>
        <v>0</v>
      </c>
      <c r="F61" s="71">
        <f>Input!F101</f>
        <v>0</v>
      </c>
      <c r="G61" s="71">
        <f>Input!G101</f>
        <v>0</v>
      </c>
      <c r="H61" s="71"/>
      <c r="I61" s="71">
        <f>Input!I101</f>
        <v>0</v>
      </c>
      <c r="J61" s="71">
        <f>Input!J101</f>
        <v>0</v>
      </c>
      <c r="K61" s="143">
        <f>Input!K101</f>
        <v>0</v>
      </c>
      <c r="L61" s="71"/>
      <c r="M61" s="120"/>
      <c r="N61" s="120"/>
      <c r="O61" s="120"/>
      <c r="P61" s="120"/>
      <c r="Q61" s="120"/>
      <c r="R61" s="120"/>
      <c r="S61" s="120"/>
      <c r="T61" s="120"/>
      <c r="U61" s="120"/>
      <c r="V61" s="120"/>
      <c r="W61" s="120"/>
      <c r="X61" s="120"/>
      <c r="Y61" s="120"/>
      <c r="Z61" s="120"/>
      <c r="AA61" s="120"/>
      <c r="AB61" s="120"/>
      <c r="AC61" s="120"/>
      <c r="AD61" s="120"/>
      <c r="AE61" s="120"/>
      <c r="AF61" s="120"/>
      <c r="AG61" s="120"/>
      <c r="AH61" s="120"/>
      <c r="AI61" s="120"/>
      <c r="AJ61" s="120"/>
      <c r="AK61" s="120"/>
      <c r="AL61" s="120"/>
      <c r="AM61" s="120"/>
      <c r="AN61" s="120"/>
      <c r="AO61" s="120"/>
      <c r="AP61" s="120"/>
      <c r="AQ61" s="120"/>
      <c r="AR61" s="120"/>
      <c r="AS61" s="120"/>
      <c r="AT61" s="120"/>
      <c r="AU61" s="120"/>
      <c r="AV61" s="120"/>
      <c r="AW61" s="120"/>
      <c r="AX61" s="120"/>
      <c r="AY61" s="120"/>
      <c r="AZ61" s="120"/>
      <c r="BA61" s="120"/>
    </row>
    <row r="62" spans="1:53" x14ac:dyDescent="0.2">
      <c r="A62" s="118">
        <f>Input!A102</f>
        <v>0</v>
      </c>
      <c r="B62" s="71">
        <f>Input!B102</f>
        <v>0</v>
      </c>
      <c r="C62" s="71">
        <f>Input!C102</f>
        <v>0</v>
      </c>
      <c r="D62" s="71">
        <f>Input!D102</f>
        <v>0</v>
      </c>
      <c r="E62" s="71">
        <f>Input!E102</f>
        <v>0</v>
      </c>
      <c r="F62" s="71">
        <f>Input!F102</f>
        <v>0</v>
      </c>
      <c r="G62" s="71">
        <f>Input!G102</f>
        <v>0</v>
      </c>
      <c r="H62" s="71"/>
      <c r="I62" s="71">
        <f>Input!I102</f>
        <v>0</v>
      </c>
      <c r="J62" s="71">
        <f>Input!J102</f>
        <v>0</v>
      </c>
      <c r="K62" s="143">
        <f>Input!K102</f>
        <v>0</v>
      </c>
      <c r="L62" s="71"/>
      <c r="M62" s="120"/>
      <c r="N62" s="120"/>
      <c r="O62" s="120"/>
      <c r="P62" s="120"/>
      <c r="Q62" s="120"/>
      <c r="R62" s="120"/>
      <c r="S62" s="120"/>
      <c r="T62" s="120"/>
      <c r="U62" s="120"/>
      <c r="V62" s="120"/>
      <c r="W62" s="120"/>
      <c r="X62" s="120"/>
      <c r="Y62" s="120"/>
      <c r="Z62" s="120"/>
      <c r="AA62" s="120"/>
      <c r="AB62" s="120"/>
      <c r="AC62" s="120"/>
      <c r="AD62" s="120"/>
      <c r="AE62" s="120"/>
      <c r="AF62" s="120"/>
      <c r="AG62" s="120"/>
      <c r="AH62" s="120"/>
      <c r="AI62" s="120"/>
      <c r="AJ62" s="120"/>
      <c r="AK62" s="120"/>
      <c r="AL62" s="120"/>
      <c r="AM62" s="120"/>
      <c r="AN62" s="120"/>
      <c r="AO62" s="120"/>
      <c r="AP62" s="120"/>
      <c r="AQ62" s="120"/>
      <c r="AR62" s="120"/>
      <c r="AS62" s="120"/>
      <c r="AT62" s="120"/>
      <c r="AU62" s="120"/>
      <c r="AV62" s="120"/>
      <c r="AW62" s="120"/>
      <c r="AX62" s="120"/>
      <c r="AY62" s="120"/>
      <c r="AZ62" s="120"/>
      <c r="BA62" s="120"/>
    </row>
    <row r="63" spans="1:53" x14ac:dyDescent="0.2">
      <c r="A63" s="118">
        <f>Input!A103</f>
        <v>0</v>
      </c>
      <c r="B63" s="71">
        <f>Input!B103</f>
        <v>0</v>
      </c>
      <c r="C63" s="71">
        <f>Input!C103</f>
        <v>0</v>
      </c>
      <c r="D63" s="71">
        <f>Input!D103</f>
        <v>0</v>
      </c>
      <c r="E63" s="71">
        <f>Input!E103</f>
        <v>0</v>
      </c>
      <c r="F63" s="71">
        <f>Input!F103</f>
        <v>0</v>
      </c>
      <c r="G63" s="71">
        <f>Input!G103</f>
        <v>0</v>
      </c>
      <c r="H63" s="71"/>
      <c r="I63" s="71">
        <f>Input!I103</f>
        <v>0</v>
      </c>
      <c r="J63" s="71">
        <f>Input!J103</f>
        <v>0</v>
      </c>
      <c r="K63" s="143">
        <f>Input!K103</f>
        <v>0</v>
      </c>
      <c r="L63" s="71"/>
      <c r="M63" s="120"/>
      <c r="N63" s="120"/>
      <c r="O63" s="120"/>
      <c r="P63" s="120"/>
      <c r="Q63" s="120"/>
      <c r="R63" s="120"/>
      <c r="S63" s="120"/>
      <c r="T63" s="120"/>
      <c r="U63" s="120"/>
      <c r="V63" s="120"/>
      <c r="W63" s="120"/>
      <c r="X63" s="120"/>
      <c r="Y63" s="120"/>
      <c r="Z63" s="120"/>
      <c r="AA63" s="120"/>
      <c r="AB63" s="120"/>
      <c r="AC63" s="120"/>
      <c r="AD63" s="120"/>
      <c r="AE63" s="120"/>
      <c r="AF63" s="120"/>
      <c r="AG63" s="120"/>
      <c r="AH63" s="120"/>
      <c r="AI63" s="120"/>
      <c r="AJ63" s="120"/>
      <c r="AK63" s="120"/>
      <c r="AL63" s="120"/>
      <c r="AM63" s="120"/>
      <c r="AN63" s="120"/>
      <c r="AO63" s="120"/>
      <c r="AP63" s="120"/>
      <c r="AQ63" s="120"/>
      <c r="AR63" s="120"/>
      <c r="AS63" s="120"/>
      <c r="AT63" s="120"/>
      <c r="AU63" s="120"/>
      <c r="AV63" s="120"/>
      <c r="AW63" s="120"/>
      <c r="AX63" s="120"/>
      <c r="AY63" s="120"/>
      <c r="AZ63" s="120"/>
      <c r="BA63" s="120"/>
    </row>
    <row r="64" spans="1:53" s="70" customFormat="1" ht="17" thickBot="1" x14ac:dyDescent="0.25">
      <c r="A64" s="147" t="s">
        <v>354</v>
      </c>
      <c r="B64" s="148">
        <f>SUM(B59:B63)</f>
        <v>0</v>
      </c>
      <c r="C64" s="148">
        <f t="shared" ref="C64:G64" si="29">SUM(C59:C63)</f>
        <v>0</v>
      </c>
      <c r="D64" s="148">
        <f t="shared" si="29"/>
        <v>0</v>
      </c>
      <c r="E64" s="148">
        <f t="shared" si="29"/>
        <v>0</v>
      </c>
      <c r="F64" s="148">
        <f t="shared" si="29"/>
        <v>0</v>
      </c>
      <c r="G64" s="148">
        <f t="shared" si="29"/>
        <v>0</v>
      </c>
      <c r="H64" s="148"/>
      <c r="I64" s="148">
        <f t="shared" ref="I64:K64" si="30">SUM(I59:I63)</f>
        <v>0</v>
      </c>
      <c r="J64" s="148">
        <f t="shared" si="30"/>
        <v>0</v>
      </c>
      <c r="K64" s="149">
        <f t="shared" si="30"/>
        <v>0</v>
      </c>
      <c r="L64" s="122"/>
      <c r="M64" s="150"/>
      <c r="N64" s="150"/>
      <c r="O64" s="150"/>
      <c r="P64" s="150"/>
      <c r="Q64" s="150"/>
      <c r="R64" s="150"/>
      <c r="S64" s="150"/>
      <c r="T64" s="150"/>
      <c r="U64" s="150"/>
      <c r="V64" s="150"/>
      <c r="W64" s="150"/>
      <c r="X64" s="150"/>
      <c r="Y64" s="150"/>
      <c r="Z64" s="150"/>
      <c r="AA64" s="150"/>
      <c r="AB64" s="150"/>
      <c r="AC64" s="150"/>
      <c r="AD64" s="150"/>
      <c r="AE64" s="150"/>
      <c r="AF64" s="150"/>
      <c r="AG64" s="150"/>
      <c r="AH64" s="150"/>
      <c r="AI64" s="150"/>
      <c r="AJ64" s="150"/>
      <c r="AK64" s="150"/>
      <c r="AL64" s="150"/>
      <c r="AM64" s="150"/>
      <c r="AN64" s="150"/>
      <c r="AO64" s="150"/>
      <c r="AP64" s="150"/>
      <c r="AQ64" s="150"/>
      <c r="AR64" s="150"/>
      <c r="AS64" s="150"/>
      <c r="AT64" s="150"/>
      <c r="AU64" s="150"/>
      <c r="AV64" s="150"/>
      <c r="AW64" s="150"/>
      <c r="AX64" s="150"/>
      <c r="AY64" s="150"/>
      <c r="AZ64" s="150"/>
      <c r="BA64" s="150"/>
    </row>
    <row r="65" spans="1:84" ht="17" thickBot="1" x14ac:dyDescent="0.25">
      <c r="B65" s="120"/>
      <c r="C65" s="120"/>
      <c r="D65" s="120"/>
      <c r="E65" s="120"/>
      <c r="F65" s="120"/>
      <c r="G65" s="120"/>
      <c r="M65" s="120"/>
      <c r="N65" s="120"/>
      <c r="O65" s="120"/>
      <c r="P65" s="120"/>
      <c r="Q65" s="120"/>
      <c r="R65" s="120"/>
      <c r="S65" s="120"/>
      <c r="T65" s="120"/>
      <c r="U65" s="120"/>
      <c r="V65" s="120"/>
      <c r="W65" s="120"/>
      <c r="X65" s="120"/>
      <c r="Y65" s="120"/>
      <c r="Z65" s="120"/>
      <c r="AA65" s="120"/>
      <c r="AB65" s="120"/>
      <c r="AC65" s="120"/>
      <c r="AD65" s="120"/>
      <c r="AE65" s="120"/>
      <c r="AF65" s="120"/>
      <c r="AG65" s="120"/>
      <c r="AH65" s="120"/>
      <c r="AI65" s="120"/>
      <c r="AJ65" s="120"/>
      <c r="AK65" s="120"/>
      <c r="AL65" s="120"/>
      <c r="AM65" s="120"/>
      <c r="AN65" s="120"/>
      <c r="AO65" s="120"/>
      <c r="AP65" s="120"/>
      <c r="AQ65" s="120"/>
      <c r="AR65" s="120"/>
      <c r="AS65" s="120"/>
      <c r="AT65" s="120"/>
      <c r="AU65" s="120"/>
      <c r="AV65" s="120"/>
      <c r="AW65" s="120"/>
      <c r="AX65" s="120"/>
      <c r="AY65" s="120"/>
      <c r="AZ65" s="120"/>
      <c r="BA65" s="120"/>
    </row>
    <row r="66" spans="1:84" x14ac:dyDescent="0.2">
      <c r="A66" s="113" t="s">
        <v>767</v>
      </c>
      <c r="B66" s="128"/>
      <c r="C66" s="128"/>
      <c r="D66" s="128"/>
      <c r="E66" s="128"/>
      <c r="F66" s="128"/>
      <c r="G66" s="128"/>
      <c r="H66" s="217"/>
      <c r="I66" s="217"/>
      <c r="J66" s="217"/>
      <c r="K66" s="218"/>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c r="AJ66" s="120"/>
      <c r="AK66" s="120"/>
      <c r="AL66" s="120"/>
      <c r="AM66" s="120"/>
      <c r="AN66" s="120"/>
      <c r="AO66" s="120"/>
      <c r="AP66" s="120"/>
      <c r="AQ66" s="120"/>
      <c r="AR66" s="120"/>
      <c r="AS66" s="120"/>
      <c r="AT66" s="120"/>
      <c r="AU66" s="120"/>
      <c r="AV66" s="120"/>
      <c r="AW66" s="120"/>
      <c r="AX66" s="120"/>
      <c r="AY66" s="120"/>
      <c r="AZ66" s="120"/>
      <c r="BA66" s="120"/>
    </row>
    <row r="67" spans="1:84" s="70" customFormat="1" x14ac:dyDescent="0.2">
      <c r="A67" s="115" t="s">
        <v>768</v>
      </c>
      <c r="B67" s="215">
        <f>Input!B63/Input!B84</f>
        <v>6.7719832508564899</v>
      </c>
      <c r="C67" s="215">
        <f>Input!C63/Input!C84</f>
        <v>8.7590832867523751</v>
      </c>
      <c r="D67" s="215">
        <f>Input!D63/Input!D84</f>
        <v>5.3508710801393731</v>
      </c>
      <c r="E67" s="215">
        <f>Input!E63/Input!E84</f>
        <v>5.8104046242774565</v>
      </c>
      <c r="F67" s="215">
        <f>Input!F63/Input!F84</f>
        <v>5.2646328485278469</v>
      </c>
      <c r="G67" s="215">
        <f>Input!G63/Input!G84</f>
        <v>4.8902967655885297</v>
      </c>
      <c r="H67" s="215"/>
      <c r="I67" s="215">
        <f>Input!I63/Input!I84</f>
        <v>15.45865870842186</v>
      </c>
      <c r="J67" s="215">
        <f>Input!J63/Input!J84</f>
        <v>14.559558561522282</v>
      </c>
      <c r="K67" s="151">
        <f>Input!K63/Input!K84</f>
        <v>13.716320459037899</v>
      </c>
      <c r="L67" s="122"/>
      <c r="M67" s="150"/>
      <c r="N67" s="150"/>
      <c r="O67" s="150"/>
      <c r="P67" s="150"/>
      <c r="Q67" s="150"/>
      <c r="R67" s="150"/>
      <c r="S67" s="150"/>
      <c r="T67" s="150"/>
      <c r="U67" s="150"/>
      <c r="V67" s="150"/>
      <c r="W67" s="150"/>
      <c r="X67" s="150"/>
      <c r="Y67" s="150"/>
      <c r="Z67" s="150"/>
      <c r="AA67" s="150"/>
      <c r="AB67" s="150"/>
      <c r="AC67" s="150"/>
      <c r="AD67" s="150"/>
      <c r="AE67" s="150"/>
      <c r="AF67" s="150"/>
      <c r="AG67" s="150"/>
      <c r="AH67" s="150"/>
      <c r="AI67" s="150"/>
      <c r="AJ67" s="150"/>
      <c r="AK67" s="150"/>
      <c r="AL67" s="150"/>
      <c r="AM67" s="150"/>
      <c r="AN67" s="150"/>
      <c r="AO67" s="150"/>
      <c r="AP67" s="150"/>
      <c r="AQ67" s="150"/>
      <c r="AR67" s="150"/>
      <c r="AS67" s="150"/>
      <c r="AT67" s="150"/>
      <c r="AU67" s="150"/>
      <c r="AV67" s="150"/>
      <c r="AW67" s="150"/>
      <c r="AX67" s="150"/>
      <c r="AY67" s="150"/>
      <c r="AZ67" s="150"/>
      <c r="BA67" s="150"/>
    </row>
    <row r="68" spans="1:84" x14ac:dyDescent="0.2">
      <c r="A68" s="118" t="s">
        <v>769</v>
      </c>
      <c r="B68" s="216">
        <f>Input!B61/Input!B84</f>
        <v>5.6996574038827559</v>
      </c>
      <c r="C68" s="216">
        <f>Input!C61/Input!C84</f>
        <v>7.8339854667411961</v>
      </c>
      <c r="D68" s="216">
        <f>Input!D61/Input!D84</f>
        <v>4.9076655052264808</v>
      </c>
      <c r="E68" s="216">
        <f>Input!E61/Input!E84</f>
        <v>4.8990366088631987</v>
      </c>
      <c r="F68" s="216">
        <f>Input!F61/Input!F84</f>
        <v>4.5125931181269952</v>
      </c>
      <c r="G68" s="216">
        <f>Input!G61/Input!G84</f>
        <v>4.0636878959653222</v>
      </c>
      <c r="H68" s="216"/>
      <c r="I68" s="216">
        <f>Input!I61/Input!I84</f>
        <v>9.0602391110380012</v>
      </c>
      <c r="J68" s="216">
        <f>Input!J61/Input!J84</f>
        <v>8.5555748808085141</v>
      </c>
      <c r="K68" s="152">
        <f>Input!K61/Input!K84</f>
        <v>8.0616231388050128</v>
      </c>
      <c r="L68" s="216"/>
      <c r="M68" s="120"/>
      <c r="N68" s="120"/>
      <c r="O68" s="120"/>
      <c r="P68" s="120"/>
      <c r="Q68" s="120"/>
      <c r="R68" s="120"/>
      <c r="S68" s="120"/>
      <c r="T68" s="120"/>
      <c r="U68" s="120"/>
      <c r="V68" s="120"/>
      <c r="W68" s="120"/>
      <c r="X68" s="120"/>
      <c r="Y68" s="120"/>
      <c r="Z68" s="120"/>
      <c r="AA68" s="120"/>
      <c r="AB68" s="120"/>
      <c r="AC68" s="120"/>
      <c r="AD68" s="120"/>
      <c r="AE68" s="120"/>
      <c r="AF68" s="120"/>
      <c r="AG68" s="120"/>
      <c r="AH68" s="120"/>
      <c r="AI68" s="120"/>
      <c r="AJ68" s="120"/>
      <c r="AK68" s="120"/>
      <c r="AL68" s="120"/>
      <c r="AM68" s="120"/>
      <c r="AN68" s="120"/>
      <c r="AO68" s="120"/>
      <c r="AP68" s="120"/>
      <c r="AQ68" s="120"/>
      <c r="AR68" s="120"/>
      <c r="AS68" s="120"/>
      <c r="AT68" s="120"/>
      <c r="AU68" s="120"/>
      <c r="AV68" s="120"/>
      <c r="AW68" s="120"/>
      <c r="AX68" s="120"/>
      <c r="AY68" s="120"/>
      <c r="AZ68" s="120"/>
      <c r="BA68" s="120"/>
    </row>
    <row r="69" spans="1:84" x14ac:dyDescent="0.2">
      <c r="A69" s="118" t="s">
        <v>770</v>
      </c>
      <c r="B69" s="216">
        <f>Input!B44/Input!B84</f>
        <v>1.0723258469737342</v>
      </c>
      <c r="C69" s="216">
        <f>Input!C44/Input!C84</f>
        <v>0.92509782001117946</v>
      </c>
      <c r="D69" s="216">
        <f>Input!D44/Input!D84</f>
        <v>0.44320557491289198</v>
      </c>
      <c r="E69" s="216">
        <f>Input!E44/Input!E84</f>
        <v>0.91136801541425816</v>
      </c>
      <c r="F69" s="216">
        <f>Input!F44/Input!F84</f>
        <v>0.75203973040085137</v>
      </c>
      <c r="G69" s="216">
        <f>Input!G44/Input!G84</f>
        <v>0.82660886962320779</v>
      </c>
      <c r="H69" s="216"/>
      <c r="I69" s="216">
        <f>Input!I44/Input!I84</f>
        <v>6.3984195973838576</v>
      </c>
      <c r="J69" s="216">
        <f>Input!J44/Input!J84</f>
        <v>6.0039836807137679</v>
      </c>
      <c r="K69" s="152">
        <f>Input!K44/Input!K84</f>
        <v>5.6546973202328852</v>
      </c>
      <c r="L69" s="73" t="s">
        <v>772</v>
      </c>
      <c r="N69" s="120"/>
      <c r="O69" s="120"/>
      <c r="P69" s="120"/>
      <c r="Q69" s="120"/>
      <c r="R69" s="120"/>
      <c r="S69" s="120"/>
      <c r="T69" s="120"/>
      <c r="U69" s="120"/>
      <c r="V69" s="120"/>
      <c r="W69" s="120"/>
      <c r="X69" s="120"/>
      <c r="Y69" s="120"/>
      <c r="Z69" s="120"/>
      <c r="AA69" s="120"/>
      <c r="AB69" s="120"/>
      <c r="AC69" s="120"/>
      <c r="AD69" s="120"/>
      <c r="AE69" s="120"/>
      <c r="AF69" s="120"/>
      <c r="AG69" s="120"/>
      <c r="AH69" s="120"/>
      <c r="AI69" s="120"/>
      <c r="AJ69" s="120"/>
      <c r="AK69" s="120"/>
      <c r="AL69" s="120"/>
      <c r="AM69" s="120"/>
      <c r="AN69" s="120"/>
      <c r="AO69" s="120"/>
      <c r="AP69" s="120"/>
      <c r="AQ69" s="120"/>
      <c r="AR69" s="120"/>
      <c r="AS69" s="120"/>
      <c r="AT69" s="120"/>
      <c r="AU69" s="120"/>
      <c r="AV69" s="120"/>
      <c r="AW69" s="120"/>
      <c r="AX69" s="120"/>
      <c r="AY69" s="120"/>
      <c r="AZ69" s="120"/>
      <c r="BA69" s="120"/>
    </row>
    <row r="70" spans="1:84" x14ac:dyDescent="0.2">
      <c r="A70" s="118"/>
      <c r="B70" s="120"/>
      <c r="C70" s="120"/>
      <c r="D70" s="120"/>
      <c r="E70" s="120"/>
      <c r="F70" s="120"/>
      <c r="G70" s="120"/>
      <c r="H70" s="120"/>
      <c r="I70" s="120"/>
      <c r="J70" s="120"/>
      <c r="K70" s="121"/>
      <c r="L70" s="120"/>
      <c r="M70" s="120"/>
      <c r="N70" s="120"/>
      <c r="O70" s="120"/>
      <c r="P70" s="120"/>
      <c r="Q70" s="120"/>
      <c r="R70" s="120"/>
      <c r="S70" s="120"/>
      <c r="T70" s="120"/>
      <c r="U70" s="120"/>
      <c r="V70" s="120"/>
      <c r="W70" s="120"/>
      <c r="X70" s="120"/>
      <c r="Y70" s="120"/>
      <c r="Z70" s="120"/>
      <c r="AA70" s="120"/>
      <c r="AB70" s="120"/>
      <c r="AC70" s="120"/>
      <c r="AD70" s="120"/>
      <c r="AE70" s="120"/>
      <c r="AF70" s="120"/>
      <c r="AG70" s="120"/>
      <c r="AH70" s="120"/>
      <c r="AI70" s="120"/>
      <c r="AJ70" s="120"/>
      <c r="AK70" s="120"/>
      <c r="AL70" s="120"/>
      <c r="AM70" s="120"/>
      <c r="AN70" s="120"/>
      <c r="AO70" s="120"/>
      <c r="AP70" s="120"/>
      <c r="AQ70" s="120"/>
      <c r="AR70" s="120"/>
      <c r="AS70" s="120"/>
      <c r="AT70" s="120"/>
      <c r="AU70" s="120"/>
      <c r="AV70" s="120"/>
      <c r="AW70" s="120"/>
      <c r="AX70" s="120"/>
      <c r="AY70" s="120"/>
      <c r="AZ70" s="120"/>
      <c r="BA70" s="120"/>
    </row>
    <row r="71" spans="1:84" x14ac:dyDescent="0.2">
      <c r="A71" s="118" t="s">
        <v>254</v>
      </c>
      <c r="B71" s="122">
        <f>Input!B63-Input!B12</f>
        <v>13653</v>
      </c>
      <c r="C71" s="122">
        <f>Input!C63-Input!C12</f>
        <v>13160</v>
      </c>
      <c r="D71" s="122">
        <f>Input!D63-Input!D12</f>
        <v>13012</v>
      </c>
      <c r="E71" s="122">
        <f>Input!E63-Input!E12</f>
        <v>12613</v>
      </c>
      <c r="F71" s="122">
        <f>Input!F63-Input!F12</f>
        <v>12501</v>
      </c>
      <c r="G71" s="122">
        <f>Input!G63-Input!G12</f>
        <v>12411</v>
      </c>
      <c r="H71" s="122"/>
      <c r="I71" s="122">
        <f>Input!I63-Input!I12</f>
        <v>51907.4</v>
      </c>
      <c r="J71" s="122">
        <f>Input!J63-Input!J12</f>
        <v>51634.8</v>
      </c>
      <c r="K71" s="123">
        <f>Input!K63-Input!K12</f>
        <v>51350.200000000004</v>
      </c>
      <c r="L71" s="122"/>
      <c r="M71" s="120"/>
      <c r="N71" s="120"/>
      <c r="O71" s="120"/>
      <c r="P71" s="120"/>
      <c r="Q71" s="120"/>
      <c r="R71" s="120"/>
      <c r="S71" s="120"/>
      <c r="T71" s="120"/>
      <c r="U71" s="120"/>
      <c r="V71" s="120"/>
      <c r="W71" s="120"/>
      <c r="X71" s="120"/>
      <c r="Y71" s="120"/>
      <c r="Z71" s="120"/>
      <c r="AA71" s="120"/>
      <c r="AB71" s="120"/>
      <c r="AC71" s="120"/>
      <c r="AD71" s="120"/>
      <c r="AE71" s="120"/>
      <c r="AF71" s="120"/>
      <c r="AG71" s="120"/>
      <c r="AH71" s="120"/>
      <c r="AI71" s="120"/>
      <c r="AJ71" s="120"/>
      <c r="AK71" s="120"/>
      <c r="AL71" s="120"/>
      <c r="AM71" s="120"/>
      <c r="AN71" s="120"/>
      <c r="AO71" s="120"/>
      <c r="AP71" s="120"/>
      <c r="AQ71" s="120"/>
      <c r="AR71" s="120"/>
      <c r="AS71" s="120"/>
      <c r="AT71" s="120"/>
      <c r="AU71" s="120"/>
      <c r="AV71" s="120"/>
      <c r="AW71" s="120"/>
      <c r="AX71" s="120"/>
      <c r="AY71" s="120"/>
      <c r="AZ71" s="120"/>
      <c r="BA71" s="120"/>
    </row>
    <row r="72" spans="1:84" ht="17" thickBot="1" x14ac:dyDescent="0.25">
      <c r="A72" s="127" t="s">
        <v>771</v>
      </c>
      <c r="B72" s="153">
        <f>B71/Input!B84</f>
        <v>5.197183098591549</v>
      </c>
      <c r="C72" s="153">
        <f>C71/Input!C84</f>
        <v>7.3560648406931248</v>
      </c>
      <c r="D72" s="153">
        <f>D71/Input!D84</f>
        <v>4.5337979094076655</v>
      </c>
      <c r="E72" s="153">
        <f>E71/Input!E84</f>
        <v>4.8605009633911367</v>
      </c>
      <c r="F72" s="153">
        <f>F71/Input!F84</f>
        <v>4.4345512593118128</v>
      </c>
      <c r="G72" s="153">
        <f>G71/Input!G84</f>
        <v>4.1383794598199399</v>
      </c>
      <c r="H72" s="153"/>
      <c r="I72" s="153">
        <f>I71/Input!I84</f>
        <v>14.773863927530533</v>
      </c>
      <c r="J72" s="153">
        <f>J71/Input!J84</f>
        <v>13.841415890850774</v>
      </c>
      <c r="K72" s="154">
        <f>K71/Input!K84</f>
        <v>12.967802137114933</v>
      </c>
      <c r="L72" s="216"/>
      <c r="M72" s="120"/>
      <c r="N72" s="120"/>
      <c r="O72" s="120"/>
      <c r="P72" s="120"/>
      <c r="Q72" s="120"/>
      <c r="R72" s="120"/>
      <c r="S72" s="120"/>
      <c r="T72" s="120"/>
      <c r="U72" s="120"/>
      <c r="V72" s="120"/>
      <c r="W72" s="120"/>
      <c r="X72" s="120"/>
      <c r="Y72" s="120"/>
      <c r="Z72" s="120"/>
      <c r="AA72" s="120"/>
      <c r="AB72" s="120"/>
      <c r="AC72" s="120"/>
      <c r="AD72" s="120"/>
      <c r="AE72" s="120"/>
      <c r="AF72" s="120"/>
      <c r="AG72" s="120"/>
      <c r="AH72" s="120"/>
      <c r="AI72" s="120"/>
      <c r="AJ72" s="120"/>
      <c r="AK72" s="120"/>
      <c r="AL72" s="120"/>
      <c r="AM72" s="120"/>
      <c r="AN72" s="120"/>
      <c r="AO72" s="120"/>
      <c r="AP72" s="120"/>
      <c r="AQ72" s="120"/>
      <c r="AR72" s="120"/>
      <c r="AS72" s="120"/>
      <c r="AT72" s="120"/>
      <c r="AU72" s="120"/>
      <c r="AV72" s="120"/>
      <c r="AW72" s="120"/>
      <c r="AX72" s="120"/>
      <c r="AY72" s="120"/>
      <c r="AZ72" s="120"/>
      <c r="BA72" s="120"/>
    </row>
    <row r="73" spans="1:84" x14ac:dyDescent="0.2">
      <c r="B73" s="120"/>
      <c r="C73" s="120"/>
      <c r="D73" s="120"/>
      <c r="E73" s="120"/>
      <c r="F73" s="120"/>
      <c r="G73" s="120"/>
      <c r="M73" s="120"/>
      <c r="N73" s="120"/>
      <c r="O73" s="120"/>
      <c r="P73" s="120"/>
      <c r="Q73" s="120"/>
      <c r="R73" s="120"/>
      <c r="S73" s="120"/>
      <c r="T73" s="120"/>
      <c r="U73" s="120"/>
      <c r="V73" s="120"/>
      <c r="W73" s="120"/>
      <c r="X73" s="120"/>
      <c r="Y73" s="120"/>
      <c r="Z73" s="120"/>
      <c r="AA73" s="120"/>
      <c r="AB73" s="120"/>
      <c r="AC73" s="120"/>
      <c r="AD73" s="120"/>
      <c r="AE73" s="120"/>
      <c r="AF73" s="120"/>
      <c r="AG73" s="120"/>
      <c r="AH73" s="120"/>
      <c r="AI73" s="120"/>
      <c r="AJ73" s="120"/>
      <c r="AK73" s="120"/>
      <c r="AL73" s="120"/>
      <c r="AM73" s="120"/>
      <c r="AN73" s="120"/>
      <c r="AO73" s="120"/>
      <c r="AP73" s="120"/>
      <c r="AQ73" s="120"/>
      <c r="AR73" s="120"/>
      <c r="AS73" s="120"/>
      <c r="AT73" s="120"/>
      <c r="AU73" s="120"/>
      <c r="AV73" s="120"/>
      <c r="AW73" s="120"/>
      <c r="AX73" s="120"/>
      <c r="AY73" s="120"/>
      <c r="AZ73" s="120"/>
      <c r="BA73" s="120"/>
      <c r="BB73" s="120"/>
      <c r="BC73" s="120"/>
      <c r="BD73" s="120"/>
      <c r="BE73" s="120"/>
      <c r="BF73" s="120"/>
      <c r="BG73" s="120"/>
      <c r="BH73" s="120"/>
      <c r="BI73" s="120"/>
      <c r="BJ73" s="120"/>
      <c r="BK73" s="120"/>
      <c r="BL73" s="120"/>
      <c r="BM73" s="120"/>
      <c r="BN73" s="120"/>
      <c r="BO73" s="120"/>
      <c r="BP73" s="120"/>
      <c r="BQ73" s="120"/>
      <c r="BR73" s="120"/>
      <c r="BS73" s="120"/>
      <c r="BT73" s="120"/>
      <c r="BU73" s="120"/>
      <c r="BV73" s="120"/>
      <c r="BW73" s="120"/>
      <c r="BX73" s="120"/>
      <c r="BY73" s="120"/>
      <c r="BZ73" s="120"/>
      <c r="CA73" s="120"/>
      <c r="CB73" s="120"/>
      <c r="CC73" s="120"/>
      <c r="CD73" s="120"/>
      <c r="CE73" s="120"/>
      <c r="CF73" s="120"/>
    </row>
    <row r="74" spans="1:84" x14ac:dyDescent="0.2">
      <c r="B74" s="120"/>
      <c r="C74" s="120"/>
      <c r="D74" s="120"/>
      <c r="E74" s="120"/>
      <c r="F74" s="120"/>
      <c r="G74" s="120"/>
      <c r="M74" s="120"/>
      <c r="N74" s="120"/>
      <c r="O74" s="120"/>
      <c r="P74" s="120"/>
      <c r="Q74" s="120"/>
      <c r="R74" s="120"/>
      <c r="S74" s="120"/>
      <c r="T74" s="120"/>
      <c r="U74" s="120"/>
      <c r="V74" s="120"/>
      <c r="W74" s="120"/>
      <c r="X74" s="120"/>
      <c r="Y74" s="120"/>
      <c r="Z74" s="120"/>
      <c r="AA74" s="120"/>
      <c r="AB74" s="120"/>
      <c r="AC74" s="120"/>
      <c r="AD74" s="120"/>
      <c r="AE74" s="120"/>
      <c r="AF74" s="120"/>
      <c r="AG74" s="120"/>
      <c r="AH74" s="120"/>
      <c r="AI74" s="120"/>
      <c r="AJ74" s="120"/>
      <c r="AK74" s="120"/>
      <c r="AL74" s="120"/>
      <c r="AM74" s="120"/>
      <c r="AN74" s="120"/>
      <c r="AO74" s="120"/>
      <c r="AP74" s="120"/>
      <c r="AQ74" s="120"/>
      <c r="AR74" s="120"/>
      <c r="AS74" s="120"/>
      <c r="AT74" s="120"/>
      <c r="AU74" s="120"/>
      <c r="AV74" s="120"/>
      <c r="AW74" s="120"/>
      <c r="AX74" s="120"/>
      <c r="AY74" s="120"/>
      <c r="AZ74" s="120"/>
      <c r="BA74" s="120"/>
      <c r="BB74" s="120"/>
      <c r="BC74" s="120"/>
      <c r="BD74" s="120"/>
      <c r="BE74" s="120"/>
      <c r="BF74" s="120"/>
      <c r="BG74" s="120"/>
      <c r="BH74" s="120"/>
      <c r="BI74" s="120"/>
      <c r="BJ74" s="120"/>
      <c r="BK74" s="120"/>
      <c r="BL74" s="120"/>
      <c r="BM74" s="120"/>
      <c r="BN74" s="120"/>
      <c r="BO74" s="120"/>
      <c r="BP74" s="120"/>
      <c r="BQ74" s="120"/>
      <c r="BR74" s="120"/>
      <c r="BS74" s="120"/>
      <c r="BT74" s="120"/>
      <c r="BU74" s="120"/>
      <c r="BV74" s="120"/>
      <c r="BW74" s="120"/>
      <c r="BX74" s="120"/>
      <c r="BY74" s="120"/>
      <c r="BZ74" s="120"/>
      <c r="CA74" s="120"/>
      <c r="CB74" s="120"/>
      <c r="CC74" s="120"/>
      <c r="CD74" s="120"/>
      <c r="CE74" s="120"/>
      <c r="CF74" s="120"/>
    </row>
    <row r="75" spans="1:84" x14ac:dyDescent="0.2">
      <c r="B75" s="120"/>
      <c r="C75" s="120"/>
      <c r="D75" s="120"/>
      <c r="E75" s="120"/>
      <c r="F75" s="120"/>
      <c r="G75" s="120"/>
      <c r="M75" s="120"/>
      <c r="N75" s="120"/>
      <c r="O75" s="120"/>
      <c r="P75" s="120"/>
      <c r="Q75" s="120"/>
      <c r="R75" s="120"/>
      <c r="S75" s="120"/>
      <c r="T75" s="120"/>
      <c r="U75" s="120"/>
      <c r="V75" s="120"/>
      <c r="W75" s="120"/>
      <c r="X75" s="120"/>
      <c r="Y75" s="120"/>
      <c r="Z75" s="120"/>
      <c r="AA75" s="120"/>
      <c r="AB75" s="120"/>
      <c r="AC75" s="120"/>
      <c r="AD75" s="120"/>
      <c r="AE75" s="120"/>
      <c r="AF75" s="120"/>
      <c r="AG75" s="120"/>
      <c r="AH75" s="120"/>
      <c r="AI75" s="120"/>
      <c r="AJ75" s="120"/>
      <c r="AK75" s="120"/>
      <c r="AL75" s="120"/>
      <c r="AM75" s="120"/>
      <c r="AN75" s="120"/>
      <c r="AO75" s="120"/>
      <c r="AP75" s="120"/>
      <c r="AQ75" s="120"/>
      <c r="AR75" s="120"/>
      <c r="AS75" s="120"/>
      <c r="AT75" s="120"/>
      <c r="AU75" s="120"/>
      <c r="AV75" s="120"/>
      <c r="AW75" s="120"/>
      <c r="AX75" s="120"/>
      <c r="AY75" s="120"/>
      <c r="AZ75" s="120"/>
      <c r="BA75" s="120"/>
      <c r="BB75" s="120"/>
      <c r="BC75" s="120"/>
      <c r="BD75" s="120"/>
      <c r="BE75" s="120"/>
      <c r="BF75" s="120"/>
      <c r="BG75" s="120"/>
      <c r="BH75" s="120"/>
      <c r="BI75" s="120"/>
      <c r="BJ75" s="120"/>
      <c r="BK75" s="120"/>
      <c r="BL75" s="120"/>
      <c r="BM75" s="120"/>
      <c r="BN75" s="120"/>
      <c r="BO75" s="120"/>
      <c r="BP75" s="120"/>
      <c r="BQ75" s="120"/>
      <c r="BR75" s="120"/>
      <c r="BS75" s="120"/>
      <c r="BT75" s="120"/>
      <c r="BU75" s="120"/>
      <c r="BV75" s="120"/>
      <c r="BW75" s="120"/>
      <c r="BX75" s="120"/>
      <c r="BY75" s="120"/>
      <c r="BZ75" s="120"/>
      <c r="CA75" s="120"/>
      <c r="CB75" s="120"/>
      <c r="CC75" s="120"/>
      <c r="CD75" s="120"/>
      <c r="CE75" s="120"/>
      <c r="CF75" s="120"/>
    </row>
    <row r="76" spans="1:84" x14ac:dyDescent="0.2">
      <c r="B76" s="120"/>
      <c r="C76" s="120"/>
      <c r="D76" s="120"/>
      <c r="E76" s="120"/>
      <c r="F76" s="120"/>
      <c r="G76" s="120"/>
      <c r="M76" s="120"/>
      <c r="N76" s="120"/>
      <c r="O76" s="120"/>
      <c r="P76" s="120"/>
      <c r="Q76" s="120"/>
      <c r="R76" s="120"/>
      <c r="S76" s="120"/>
      <c r="T76" s="120"/>
      <c r="U76" s="120"/>
      <c r="V76" s="120"/>
      <c r="W76" s="120"/>
      <c r="X76" s="120"/>
      <c r="Y76" s="120"/>
      <c r="Z76" s="120"/>
      <c r="AA76" s="120"/>
      <c r="AB76" s="120"/>
      <c r="AC76" s="120"/>
      <c r="AD76" s="120"/>
      <c r="AE76" s="120"/>
      <c r="AF76" s="120"/>
      <c r="AG76" s="120"/>
      <c r="AH76" s="120"/>
      <c r="AI76" s="120"/>
      <c r="AJ76" s="120"/>
      <c r="AK76" s="120"/>
      <c r="AL76" s="120"/>
      <c r="AM76" s="120"/>
      <c r="AN76" s="120"/>
      <c r="AO76" s="120"/>
      <c r="AP76" s="120"/>
      <c r="AQ76" s="120"/>
      <c r="AR76" s="120"/>
      <c r="AS76" s="120"/>
      <c r="AT76" s="120"/>
      <c r="AU76" s="120"/>
      <c r="AV76" s="120"/>
      <c r="AW76" s="120"/>
      <c r="AX76" s="120"/>
      <c r="AY76" s="120"/>
      <c r="AZ76" s="120"/>
      <c r="BA76" s="120"/>
      <c r="BB76" s="120"/>
      <c r="BC76" s="120"/>
      <c r="BD76" s="120"/>
      <c r="BE76" s="120"/>
      <c r="BF76" s="120"/>
      <c r="BG76" s="120"/>
      <c r="BH76" s="120"/>
      <c r="BI76" s="120"/>
      <c r="BJ76" s="120"/>
      <c r="BK76" s="120"/>
      <c r="BL76" s="120"/>
      <c r="BM76" s="120"/>
      <c r="BN76" s="120"/>
      <c r="BO76" s="120"/>
      <c r="BP76" s="120"/>
      <c r="BQ76" s="120"/>
      <c r="BR76" s="120"/>
      <c r="BS76" s="120"/>
      <c r="BT76" s="120"/>
      <c r="BU76" s="120"/>
      <c r="BV76" s="120"/>
      <c r="BW76" s="120"/>
      <c r="BX76" s="120"/>
      <c r="BY76" s="120"/>
      <c r="BZ76" s="120"/>
      <c r="CA76" s="120"/>
      <c r="CB76" s="120"/>
      <c r="CC76" s="120"/>
      <c r="CD76" s="120"/>
      <c r="CE76" s="120"/>
      <c r="CF76" s="120"/>
    </row>
    <row r="77" spans="1:84" x14ac:dyDescent="0.2">
      <c r="B77" s="120"/>
      <c r="C77" s="120"/>
      <c r="D77" s="120"/>
      <c r="E77" s="120"/>
      <c r="F77" s="120"/>
      <c r="G77" s="120"/>
      <c r="M77" s="120"/>
      <c r="N77" s="120"/>
      <c r="O77" s="120"/>
      <c r="P77" s="120"/>
      <c r="Q77" s="120"/>
      <c r="R77" s="120"/>
      <c r="S77" s="120"/>
      <c r="T77" s="120"/>
      <c r="U77" s="120"/>
      <c r="V77" s="120"/>
      <c r="W77" s="120"/>
      <c r="X77" s="120"/>
      <c r="Y77" s="120"/>
      <c r="Z77" s="120"/>
      <c r="AA77" s="120"/>
      <c r="AB77" s="120"/>
      <c r="AC77" s="120"/>
      <c r="AD77" s="120"/>
      <c r="AE77" s="120"/>
      <c r="AF77" s="120"/>
      <c r="AG77" s="120"/>
      <c r="AH77" s="120"/>
      <c r="AI77" s="120"/>
      <c r="AJ77" s="120"/>
      <c r="AK77" s="120"/>
      <c r="AL77" s="120"/>
      <c r="AM77" s="120"/>
      <c r="AN77" s="120"/>
      <c r="AO77" s="120"/>
      <c r="AP77" s="120"/>
      <c r="AQ77" s="120"/>
      <c r="AR77" s="120"/>
      <c r="AS77" s="120"/>
      <c r="AT77" s="120"/>
      <c r="AU77" s="120"/>
      <c r="AV77" s="120"/>
      <c r="AW77" s="120"/>
      <c r="AX77" s="120"/>
      <c r="AY77" s="120"/>
      <c r="AZ77" s="120"/>
      <c r="BA77" s="120"/>
      <c r="BB77" s="120"/>
      <c r="BC77" s="120"/>
      <c r="BD77" s="120"/>
      <c r="BE77" s="120"/>
      <c r="BF77" s="120"/>
      <c r="BG77" s="120"/>
      <c r="BH77" s="120"/>
      <c r="BI77" s="120"/>
      <c r="BJ77" s="120"/>
      <c r="BK77" s="120"/>
      <c r="BL77" s="120"/>
      <c r="BM77" s="120"/>
      <c r="BN77" s="120"/>
      <c r="BO77" s="120"/>
      <c r="BP77" s="120"/>
      <c r="BQ77" s="120"/>
      <c r="BR77" s="120"/>
      <c r="BS77" s="120"/>
      <c r="BT77" s="120"/>
      <c r="BU77" s="120"/>
      <c r="BV77" s="120"/>
      <c r="BW77" s="120"/>
      <c r="BX77" s="120"/>
      <c r="BY77" s="120"/>
      <c r="BZ77" s="120"/>
      <c r="CA77" s="120"/>
      <c r="CB77" s="120"/>
      <c r="CC77" s="120"/>
      <c r="CD77" s="120"/>
      <c r="CE77" s="120"/>
      <c r="CF77" s="120"/>
    </row>
    <row r="78" spans="1:84" x14ac:dyDescent="0.2">
      <c r="B78" s="120"/>
      <c r="C78" s="120"/>
      <c r="D78" s="120"/>
      <c r="E78" s="120"/>
      <c r="F78" s="120"/>
      <c r="G78" s="120"/>
      <c r="M78" s="120"/>
      <c r="N78" s="120"/>
      <c r="O78" s="120"/>
      <c r="P78" s="120"/>
      <c r="Q78" s="120"/>
      <c r="R78" s="120"/>
      <c r="S78" s="120"/>
      <c r="T78" s="120"/>
      <c r="U78" s="120"/>
      <c r="V78" s="120"/>
      <c r="W78" s="120"/>
      <c r="X78" s="120"/>
      <c r="Y78" s="120"/>
      <c r="Z78" s="120"/>
      <c r="AA78" s="120"/>
      <c r="AB78" s="120"/>
      <c r="AC78" s="120"/>
      <c r="AD78" s="120"/>
      <c r="AE78" s="120"/>
      <c r="AF78" s="120"/>
      <c r="AG78" s="120"/>
      <c r="AH78" s="120"/>
      <c r="AI78" s="120"/>
      <c r="AJ78" s="120"/>
      <c r="AK78" s="120"/>
      <c r="AL78" s="120"/>
      <c r="AM78" s="120"/>
      <c r="AN78" s="120"/>
      <c r="AO78" s="120"/>
      <c r="AP78" s="120"/>
      <c r="AQ78" s="120"/>
      <c r="AR78" s="120"/>
      <c r="AS78" s="120"/>
      <c r="AT78" s="120"/>
      <c r="AU78" s="120"/>
      <c r="AV78" s="120"/>
      <c r="AW78" s="120"/>
      <c r="AX78" s="120"/>
      <c r="AY78" s="120"/>
      <c r="AZ78" s="120"/>
      <c r="BA78" s="120"/>
      <c r="BB78" s="120"/>
      <c r="BC78" s="120"/>
      <c r="BD78" s="120"/>
      <c r="BE78" s="120"/>
      <c r="BF78" s="120"/>
      <c r="BG78" s="120"/>
      <c r="BH78" s="120"/>
      <c r="BI78" s="120"/>
      <c r="BJ78" s="120"/>
      <c r="BK78" s="120"/>
      <c r="BL78" s="120"/>
      <c r="BM78" s="120"/>
      <c r="BN78" s="120"/>
      <c r="BO78" s="120"/>
      <c r="BP78" s="120"/>
      <c r="BQ78" s="120"/>
      <c r="BR78" s="120"/>
      <c r="BS78" s="120"/>
      <c r="BT78" s="120"/>
      <c r="BU78" s="120"/>
      <c r="BV78" s="120"/>
      <c r="BW78" s="120"/>
      <c r="BX78" s="120"/>
      <c r="BY78" s="120"/>
      <c r="BZ78" s="120"/>
      <c r="CA78" s="120"/>
      <c r="CB78" s="120"/>
      <c r="CC78" s="120"/>
      <c r="CD78" s="120"/>
      <c r="CE78" s="120"/>
      <c r="CF78" s="120"/>
    </row>
    <row r="79" spans="1:84" x14ac:dyDescent="0.2">
      <c r="B79" s="120"/>
      <c r="C79" s="120"/>
      <c r="D79" s="120"/>
      <c r="E79" s="120"/>
      <c r="F79" s="120"/>
      <c r="G79" s="120"/>
      <c r="M79" s="120"/>
      <c r="N79" s="120"/>
      <c r="O79" s="120"/>
      <c r="P79" s="120"/>
      <c r="Q79" s="120"/>
      <c r="R79" s="120"/>
      <c r="S79" s="120"/>
      <c r="T79" s="120"/>
      <c r="U79" s="120"/>
      <c r="V79" s="120"/>
      <c r="W79" s="120"/>
      <c r="X79" s="120"/>
      <c r="Y79" s="120"/>
      <c r="Z79" s="120"/>
      <c r="AA79" s="120"/>
      <c r="AB79" s="120"/>
      <c r="AC79" s="120"/>
      <c r="AD79" s="120"/>
      <c r="AE79" s="120"/>
      <c r="AF79" s="120"/>
      <c r="AG79" s="120"/>
      <c r="AH79" s="120"/>
      <c r="AI79" s="120"/>
      <c r="AJ79" s="120"/>
      <c r="AK79" s="120"/>
      <c r="AL79" s="120"/>
      <c r="AM79" s="120"/>
      <c r="AN79" s="120"/>
      <c r="AO79" s="120"/>
      <c r="AP79" s="120"/>
      <c r="AQ79" s="120"/>
      <c r="AR79" s="120"/>
      <c r="AS79" s="120"/>
      <c r="AT79" s="120"/>
      <c r="AU79" s="120"/>
      <c r="AV79" s="120"/>
      <c r="AW79" s="120"/>
      <c r="AX79" s="120"/>
      <c r="AY79" s="120"/>
      <c r="AZ79" s="120"/>
      <c r="BA79" s="120"/>
      <c r="BB79" s="120"/>
      <c r="BC79" s="120"/>
      <c r="BD79" s="120"/>
      <c r="BE79" s="120"/>
      <c r="BF79" s="120"/>
      <c r="BG79" s="120"/>
      <c r="BH79" s="120"/>
      <c r="BI79" s="120"/>
      <c r="BJ79" s="120"/>
      <c r="BK79" s="120"/>
      <c r="BL79" s="120"/>
      <c r="BM79" s="120"/>
      <c r="BN79" s="120"/>
      <c r="BO79" s="120"/>
      <c r="BP79" s="120"/>
      <c r="BQ79" s="120"/>
      <c r="BR79" s="120"/>
      <c r="BS79" s="120"/>
      <c r="BT79" s="120"/>
      <c r="BU79" s="120"/>
      <c r="BV79" s="120"/>
      <c r="BW79" s="120"/>
      <c r="BX79" s="120"/>
      <c r="BY79" s="120"/>
      <c r="BZ79" s="120"/>
      <c r="CA79" s="120"/>
      <c r="CB79" s="120"/>
      <c r="CC79" s="120"/>
      <c r="CD79" s="120"/>
      <c r="CE79" s="120"/>
      <c r="CF79" s="120"/>
    </row>
    <row r="80" spans="1:84" x14ac:dyDescent="0.2">
      <c r="B80" s="120"/>
      <c r="C80" s="120"/>
      <c r="D80" s="120"/>
      <c r="E80" s="120"/>
      <c r="F80" s="120"/>
      <c r="G80" s="120"/>
      <c r="M80" s="120"/>
      <c r="N80" s="120"/>
      <c r="O80" s="120"/>
      <c r="P80" s="120"/>
      <c r="Q80" s="120"/>
      <c r="R80" s="120"/>
      <c r="S80" s="120"/>
      <c r="T80" s="120"/>
      <c r="U80" s="120"/>
      <c r="V80" s="120"/>
      <c r="W80" s="120"/>
      <c r="X80" s="120"/>
      <c r="Y80" s="120"/>
      <c r="Z80" s="120"/>
      <c r="AA80" s="120"/>
      <c r="AB80" s="120"/>
      <c r="AC80" s="120"/>
      <c r="AD80" s="120"/>
      <c r="AE80" s="120"/>
      <c r="AF80" s="120"/>
      <c r="AG80" s="120"/>
      <c r="AH80" s="120"/>
      <c r="AI80" s="120"/>
      <c r="AJ80" s="120"/>
      <c r="AK80" s="120"/>
      <c r="AL80" s="120"/>
      <c r="AM80" s="120"/>
      <c r="AN80" s="120"/>
      <c r="AO80" s="120"/>
      <c r="AP80" s="120"/>
      <c r="AQ80" s="120"/>
      <c r="AR80" s="120"/>
      <c r="AS80" s="120"/>
      <c r="AT80" s="120"/>
      <c r="AU80" s="120"/>
      <c r="AV80" s="120"/>
      <c r="AW80" s="120"/>
      <c r="AX80" s="120"/>
      <c r="AY80" s="120"/>
      <c r="AZ80" s="120"/>
      <c r="BA80" s="120"/>
      <c r="BB80" s="120"/>
      <c r="BC80" s="120"/>
      <c r="BD80" s="120"/>
      <c r="BE80" s="120"/>
      <c r="BF80" s="120"/>
      <c r="BG80" s="120"/>
      <c r="BH80" s="120"/>
      <c r="BI80" s="120"/>
      <c r="BJ80" s="120"/>
      <c r="BK80" s="120"/>
      <c r="BL80" s="120"/>
      <c r="BM80" s="120"/>
      <c r="BN80" s="120"/>
      <c r="BO80" s="120"/>
      <c r="BP80" s="120"/>
      <c r="BQ80" s="120"/>
      <c r="BR80" s="120"/>
      <c r="BS80" s="120"/>
      <c r="BT80" s="120"/>
      <c r="BU80" s="120"/>
      <c r="BV80" s="120"/>
      <c r="BW80" s="120"/>
      <c r="BX80" s="120"/>
      <c r="BY80" s="120"/>
      <c r="BZ80" s="120"/>
      <c r="CA80" s="120"/>
      <c r="CB80" s="120"/>
      <c r="CC80" s="120"/>
      <c r="CD80" s="120"/>
      <c r="CE80" s="120"/>
      <c r="CF80" s="120"/>
    </row>
    <row r="81" spans="2:84" x14ac:dyDescent="0.2">
      <c r="B81" s="120"/>
      <c r="C81" s="120"/>
      <c r="D81" s="120"/>
      <c r="E81" s="120"/>
      <c r="F81" s="120"/>
      <c r="G81" s="120"/>
      <c r="M81" s="120"/>
      <c r="N81" s="120"/>
      <c r="O81" s="120"/>
      <c r="P81" s="120"/>
      <c r="Q81" s="120"/>
      <c r="R81" s="120"/>
      <c r="S81" s="120"/>
      <c r="T81" s="120"/>
      <c r="U81" s="120"/>
      <c r="V81" s="120"/>
      <c r="W81" s="120"/>
      <c r="X81" s="120"/>
      <c r="Y81" s="120"/>
      <c r="Z81" s="120"/>
      <c r="AA81" s="120"/>
      <c r="AB81" s="120"/>
      <c r="AC81" s="120"/>
      <c r="AD81" s="120"/>
      <c r="AE81" s="120"/>
      <c r="AF81" s="120"/>
      <c r="AG81" s="120"/>
      <c r="AH81" s="120"/>
      <c r="AI81" s="120"/>
      <c r="AJ81" s="120"/>
      <c r="AK81" s="120"/>
      <c r="AL81" s="120"/>
      <c r="AM81" s="120"/>
      <c r="AN81" s="120"/>
      <c r="AO81" s="120"/>
      <c r="AP81" s="120"/>
      <c r="AQ81" s="120"/>
      <c r="AR81" s="120"/>
      <c r="AS81" s="120"/>
      <c r="AT81" s="120"/>
      <c r="AU81" s="120"/>
      <c r="AV81" s="120"/>
      <c r="AW81" s="120"/>
      <c r="AX81" s="120"/>
      <c r="AY81" s="120"/>
      <c r="AZ81" s="120"/>
      <c r="BA81" s="120"/>
      <c r="BB81" s="120"/>
      <c r="BC81" s="120"/>
      <c r="BD81" s="120"/>
      <c r="BE81" s="120"/>
      <c r="BF81" s="120"/>
      <c r="BG81" s="120"/>
      <c r="BH81" s="120"/>
      <c r="BI81" s="120"/>
      <c r="BJ81" s="120"/>
      <c r="BK81" s="120"/>
      <c r="BL81" s="120"/>
      <c r="BM81" s="120"/>
      <c r="BN81" s="120"/>
      <c r="BO81" s="120"/>
      <c r="BP81" s="120"/>
      <c r="BQ81" s="120"/>
      <c r="BR81" s="120"/>
      <c r="BS81" s="120"/>
      <c r="BT81" s="120"/>
      <c r="BU81" s="120"/>
      <c r="BV81" s="120"/>
      <c r="BW81" s="120"/>
      <c r="BX81" s="120"/>
      <c r="BY81" s="120"/>
      <c r="BZ81" s="120"/>
      <c r="CA81" s="120"/>
      <c r="CB81" s="120"/>
      <c r="CC81" s="120"/>
      <c r="CD81" s="120"/>
      <c r="CE81" s="120"/>
      <c r="CF81" s="120"/>
    </row>
    <row r="82" spans="2:84" x14ac:dyDescent="0.2">
      <c r="B82" s="120"/>
      <c r="C82" s="120"/>
      <c r="D82" s="120"/>
      <c r="E82" s="120"/>
      <c r="F82" s="120"/>
      <c r="G82" s="120"/>
      <c r="M82" s="120"/>
      <c r="N82" s="120"/>
      <c r="O82" s="120"/>
      <c r="P82" s="120"/>
      <c r="Q82" s="120"/>
      <c r="R82" s="120"/>
      <c r="S82" s="120"/>
      <c r="T82" s="120"/>
      <c r="U82" s="120"/>
      <c r="V82" s="120"/>
      <c r="W82" s="120"/>
      <c r="X82" s="120"/>
      <c r="Y82" s="120"/>
      <c r="Z82" s="120"/>
      <c r="AA82" s="120"/>
      <c r="AB82" s="120"/>
      <c r="AC82" s="120"/>
      <c r="AD82" s="120"/>
      <c r="AE82" s="120"/>
      <c r="AF82" s="120"/>
      <c r="AG82" s="120"/>
      <c r="AH82" s="120"/>
      <c r="AI82" s="120"/>
      <c r="AJ82" s="120"/>
      <c r="AK82" s="120"/>
      <c r="AL82" s="120"/>
      <c r="AM82" s="120"/>
      <c r="AN82" s="120"/>
      <c r="AO82" s="120"/>
      <c r="AP82" s="120"/>
      <c r="AQ82" s="120"/>
      <c r="AR82" s="120"/>
      <c r="AS82" s="120"/>
      <c r="AT82" s="120"/>
      <c r="AU82" s="120"/>
      <c r="AV82" s="120"/>
      <c r="AW82" s="120"/>
      <c r="AX82" s="120"/>
      <c r="AY82" s="120"/>
      <c r="AZ82" s="120"/>
      <c r="BA82" s="120"/>
      <c r="BB82" s="120"/>
      <c r="BC82" s="120"/>
      <c r="BD82" s="120"/>
      <c r="BE82" s="120"/>
      <c r="BF82" s="120"/>
      <c r="BG82" s="120"/>
      <c r="BH82" s="120"/>
      <c r="BI82" s="120"/>
      <c r="BJ82" s="120"/>
      <c r="BK82" s="120"/>
      <c r="BL82" s="120"/>
      <c r="BM82" s="120"/>
      <c r="BN82" s="120"/>
      <c r="BO82" s="120"/>
      <c r="BP82" s="120"/>
      <c r="BQ82" s="120"/>
      <c r="BR82" s="120"/>
      <c r="BS82" s="120"/>
      <c r="BT82" s="120"/>
      <c r="BU82" s="120"/>
      <c r="BV82" s="120"/>
      <c r="BW82" s="120"/>
      <c r="BX82" s="120"/>
      <c r="BY82" s="120"/>
      <c r="BZ82" s="120"/>
      <c r="CA82" s="120"/>
      <c r="CB82" s="120"/>
      <c r="CC82" s="120"/>
      <c r="CD82" s="120"/>
      <c r="CE82" s="120"/>
      <c r="CF82" s="120"/>
    </row>
    <row r="83" spans="2:84" x14ac:dyDescent="0.2">
      <c r="B83" s="120"/>
      <c r="C83" s="120"/>
      <c r="D83" s="120"/>
      <c r="E83" s="120"/>
      <c r="F83" s="120"/>
      <c r="G83" s="120"/>
      <c r="M83" s="120"/>
      <c r="N83" s="120"/>
      <c r="O83" s="120"/>
      <c r="P83" s="120"/>
      <c r="Q83" s="120"/>
      <c r="R83" s="120"/>
      <c r="S83" s="120"/>
      <c r="T83" s="120"/>
      <c r="U83" s="120"/>
      <c r="V83" s="120"/>
      <c r="W83" s="120"/>
      <c r="X83" s="120"/>
      <c r="Y83" s="120"/>
      <c r="Z83" s="120"/>
      <c r="AA83" s="120"/>
      <c r="AB83" s="120"/>
      <c r="AC83" s="120"/>
      <c r="AD83" s="120"/>
      <c r="AE83" s="120"/>
      <c r="AF83" s="120"/>
      <c r="AG83" s="120"/>
      <c r="AH83" s="120"/>
      <c r="AI83" s="120"/>
      <c r="AJ83" s="120"/>
      <c r="AK83" s="120"/>
      <c r="AL83" s="120"/>
      <c r="AM83" s="120"/>
      <c r="AN83" s="120"/>
      <c r="AO83" s="120"/>
      <c r="AP83" s="120"/>
      <c r="AQ83" s="120"/>
      <c r="AR83" s="120"/>
      <c r="AS83" s="120"/>
      <c r="AT83" s="120"/>
      <c r="AU83" s="120"/>
      <c r="AV83" s="120"/>
      <c r="AW83" s="120"/>
      <c r="AX83" s="120"/>
      <c r="AY83" s="120"/>
      <c r="AZ83" s="120"/>
      <c r="BA83" s="120"/>
      <c r="BB83" s="120"/>
      <c r="BC83" s="120"/>
      <c r="BD83" s="120"/>
      <c r="BE83" s="120"/>
      <c r="BF83" s="120"/>
      <c r="BG83" s="120"/>
      <c r="BH83" s="120"/>
      <c r="BI83" s="120"/>
      <c r="BJ83" s="120"/>
      <c r="BK83" s="120"/>
      <c r="BL83" s="120"/>
      <c r="BM83" s="120"/>
      <c r="BN83" s="120"/>
      <c r="BO83" s="120"/>
      <c r="BP83" s="120"/>
      <c r="BQ83" s="120"/>
      <c r="BR83" s="120"/>
      <c r="BS83" s="120"/>
      <c r="BT83" s="120"/>
      <c r="BU83" s="120"/>
      <c r="BV83" s="120"/>
      <c r="BW83" s="120"/>
      <c r="BX83" s="120"/>
      <c r="BY83" s="120"/>
      <c r="BZ83" s="120"/>
      <c r="CA83" s="120"/>
      <c r="CB83" s="120"/>
      <c r="CC83" s="120"/>
      <c r="CD83" s="120"/>
      <c r="CE83" s="120"/>
      <c r="CF83" s="120"/>
    </row>
    <row r="84" spans="2:84" x14ac:dyDescent="0.2">
      <c r="B84" s="120"/>
      <c r="C84" s="120"/>
      <c r="D84" s="120"/>
      <c r="E84" s="120"/>
      <c r="F84" s="120"/>
      <c r="G84" s="120"/>
      <c r="M84" s="120"/>
      <c r="N84" s="120"/>
      <c r="O84" s="120"/>
      <c r="P84" s="120"/>
      <c r="Q84" s="120"/>
      <c r="R84" s="120"/>
      <c r="S84" s="120"/>
      <c r="T84" s="120"/>
      <c r="U84" s="120"/>
      <c r="V84" s="120"/>
      <c r="W84" s="120"/>
      <c r="X84" s="120"/>
      <c r="Y84" s="120"/>
      <c r="Z84" s="120"/>
      <c r="AA84" s="120"/>
      <c r="AB84" s="120"/>
      <c r="AC84" s="120"/>
      <c r="AD84" s="120"/>
      <c r="AE84" s="120"/>
      <c r="AF84" s="120"/>
      <c r="AG84" s="120"/>
      <c r="AH84" s="120"/>
      <c r="AI84" s="120"/>
      <c r="AJ84" s="120"/>
      <c r="AK84" s="120"/>
      <c r="AL84" s="120"/>
      <c r="AM84" s="120"/>
      <c r="AN84" s="120"/>
      <c r="AO84" s="120"/>
      <c r="AP84" s="120"/>
      <c r="AQ84" s="120"/>
      <c r="AR84" s="120"/>
      <c r="AS84" s="120"/>
      <c r="AT84" s="120"/>
      <c r="AU84" s="120"/>
      <c r="AV84" s="120"/>
      <c r="AW84" s="120"/>
      <c r="AX84" s="120"/>
      <c r="AY84" s="120"/>
      <c r="AZ84" s="120"/>
      <c r="BA84" s="120"/>
      <c r="BB84" s="120"/>
      <c r="BC84" s="120"/>
      <c r="BD84" s="120"/>
      <c r="BE84" s="120"/>
      <c r="BF84" s="120"/>
      <c r="BG84" s="120"/>
      <c r="BH84" s="120"/>
      <c r="BI84" s="120"/>
      <c r="BJ84" s="120"/>
      <c r="BK84" s="120"/>
      <c r="BL84" s="120"/>
      <c r="BM84" s="120"/>
      <c r="BN84" s="120"/>
      <c r="BO84" s="120"/>
      <c r="BP84" s="120"/>
      <c r="BQ84" s="120"/>
      <c r="BR84" s="120"/>
      <c r="BS84" s="120"/>
      <c r="BT84" s="120"/>
      <c r="BU84" s="120"/>
      <c r="BV84" s="120"/>
      <c r="BW84" s="120"/>
      <c r="BX84" s="120"/>
      <c r="BY84" s="120"/>
      <c r="BZ84" s="120"/>
      <c r="CA84" s="120"/>
      <c r="CB84" s="120"/>
      <c r="CC84" s="120"/>
      <c r="CD84" s="120"/>
      <c r="CE84" s="120"/>
      <c r="CF84" s="120"/>
    </row>
    <row r="85" spans="2:84" x14ac:dyDescent="0.2">
      <c r="B85" s="120"/>
      <c r="C85" s="120"/>
      <c r="D85" s="120"/>
      <c r="E85" s="120"/>
      <c r="F85" s="120"/>
      <c r="G85" s="120"/>
      <c r="M85" s="120"/>
      <c r="N85" s="120"/>
      <c r="O85" s="120"/>
      <c r="P85" s="120"/>
      <c r="Q85" s="120"/>
      <c r="R85" s="120"/>
      <c r="S85" s="120"/>
      <c r="T85" s="120"/>
      <c r="U85" s="120"/>
      <c r="V85" s="120"/>
      <c r="W85" s="120"/>
      <c r="X85" s="120"/>
      <c r="Y85" s="120"/>
      <c r="Z85" s="120"/>
      <c r="AA85" s="120"/>
      <c r="AB85" s="120"/>
      <c r="AC85" s="120"/>
      <c r="AD85" s="120"/>
      <c r="AE85" s="120"/>
      <c r="AF85" s="120"/>
      <c r="AG85" s="120"/>
      <c r="AH85" s="120"/>
      <c r="AI85" s="120"/>
      <c r="AJ85" s="120"/>
      <c r="AK85" s="120"/>
      <c r="AL85" s="120"/>
      <c r="AM85" s="120"/>
      <c r="AN85" s="120"/>
      <c r="AO85" s="120"/>
      <c r="AP85" s="120"/>
      <c r="AQ85" s="120"/>
      <c r="AR85" s="120"/>
      <c r="AS85" s="120"/>
      <c r="AT85" s="120"/>
      <c r="AU85" s="120"/>
      <c r="AV85" s="120"/>
      <c r="AW85" s="120"/>
      <c r="AX85" s="120"/>
      <c r="AY85" s="120"/>
      <c r="AZ85" s="120"/>
      <c r="BA85" s="120"/>
      <c r="BB85" s="120"/>
      <c r="BC85" s="120"/>
      <c r="BD85" s="120"/>
      <c r="BE85" s="120"/>
      <c r="BF85" s="120"/>
      <c r="BG85" s="120"/>
      <c r="BH85" s="120"/>
      <c r="BI85" s="120"/>
      <c r="BJ85" s="120"/>
      <c r="BK85" s="120"/>
      <c r="BL85" s="120"/>
      <c r="BM85" s="120"/>
      <c r="BN85" s="120"/>
      <c r="BO85" s="120"/>
      <c r="BP85" s="120"/>
      <c r="BQ85" s="120"/>
      <c r="BR85" s="120"/>
      <c r="BS85" s="120"/>
      <c r="BT85" s="120"/>
      <c r="BU85" s="120"/>
      <c r="BV85" s="120"/>
      <c r="BW85" s="120"/>
      <c r="BX85" s="120"/>
      <c r="BY85" s="120"/>
      <c r="BZ85" s="120"/>
      <c r="CA85" s="120"/>
      <c r="CB85" s="120"/>
      <c r="CC85" s="120"/>
      <c r="CD85" s="120"/>
      <c r="CE85" s="120"/>
      <c r="CF85" s="120"/>
    </row>
    <row r="86" spans="2:84" x14ac:dyDescent="0.2">
      <c r="B86" s="120"/>
      <c r="C86" s="120"/>
      <c r="D86" s="120"/>
      <c r="E86" s="120"/>
      <c r="F86" s="120"/>
      <c r="G86" s="120"/>
      <c r="M86" s="120"/>
      <c r="N86" s="120"/>
      <c r="O86" s="120"/>
      <c r="P86" s="120"/>
      <c r="Q86" s="120"/>
      <c r="R86" s="120"/>
      <c r="S86" s="120"/>
      <c r="T86" s="120"/>
      <c r="U86" s="120"/>
      <c r="V86" s="120"/>
      <c r="W86" s="120"/>
      <c r="X86" s="120"/>
      <c r="Y86" s="120"/>
      <c r="Z86" s="120"/>
      <c r="AA86" s="120"/>
      <c r="AB86" s="120"/>
      <c r="AC86" s="120"/>
      <c r="AD86" s="120"/>
      <c r="AE86" s="120"/>
      <c r="AF86" s="120"/>
      <c r="AG86" s="120"/>
      <c r="AH86" s="120"/>
      <c r="AI86" s="120"/>
      <c r="AJ86" s="120"/>
      <c r="AK86" s="120"/>
      <c r="AL86" s="120"/>
      <c r="AM86" s="120"/>
      <c r="AN86" s="120"/>
      <c r="AO86" s="120"/>
      <c r="AP86" s="120"/>
      <c r="AQ86" s="120"/>
      <c r="AR86" s="120"/>
      <c r="AS86" s="120"/>
      <c r="AT86" s="120"/>
      <c r="AU86" s="120"/>
      <c r="AV86" s="120"/>
      <c r="AW86" s="120"/>
      <c r="AX86" s="120"/>
      <c r="AY86" s="120"/>
      <c r="AZ86" s="120"/>
      <c r="BA86" s="120"/>
      <c r="BB86" s="120"/>
      <c r="BC86" s="120"/>
      <c r="BD86" s="120"/>
      <c r="BE86" s="120"/>
      <c r="BF86" s="120"/>
      <c r="BG86" s="120"/>
      <c r="BH86" s="120"/>
      <c r="BI86" s="120"/>
      <c r="BJ86" s="120"/>
      <c r="BK86" s="120"/>
      <c r="BL86" s="120"/>
      <c r="BM86" s="120"/>
      <c r="BN86" s="120"/>
      <c r="BO86" s="120"/>
      <c r="BP86" s="120"/>
      <c r="BQ86" s="120"/>
      <c r="BR86" s="120"/>
      <c r="BS86" s="120"/>
      <c r="BT86" s="120"/>
      <c r="BU86" s="120"/>
      <c r="BV86" s="120"/>
      <c r="BW86" s="120"/>
      <c r="BX86" s="120"/>
      <c r="BY86" s="120"/>
      <c r="BZ86" s="120"/>
      <c r="CA86" s="120"/>
      <c r="CB86" s="120"/>
      <c r="CC86" s="120"/>
      <c r="CD86" s="120"/>
      <c r="CE86" s="120"/>
      <c r="CF86" s="120"/>
    </row>
    <row r="87" spans="2:84" x14ac:dyDescent="0.2">
      <c r="B87" s="120"/>
      <c r="C87" s="120"/>
      <c r="D87" s="120"/>
      <c r="E87" s="120"/>
      <c r="F87" s="120"/>
      <c r="G87" s="120"/>
      <c r="M87" s="120"/>
      <c r="N87" s="120"/>
      <c r="O87" s="120"/>
      <c r="P87" s="120"/>
      <c r="Q87" s="120"/>
      <c r="R87" s="120"/>
      <c r="S87" s="120"/>
      <c r="T87" s="120"/>
      <c r="U87" s="120"/>
      <c r="V87" s="120"/>
      <c r="W87" s="120"/>
      <c r="X87" s="120"/>
      <c r="Y87" s="120"/>
      <c r="Z87" s="120"/>
      <c r="AA87" s="120"/>
      <c r="AB87" s="120"/>
      <c r="AC87" s="120"/>
      <c r="AD87" s="120"/>
      <c r="AE87" s="120"/>
      <c r="AF87" s="120"/>
      <c r="AG87" s="120"/>
      <c r="AH87" s="120"/>
      <c r="AI87" s="120"/>
      <c r="AJ87" s="120"/>
      <c r="AK87" s="120"/>
      <c r="AL87" s="120"/>
      <c r="AM87" s="120"/>
      <c r="AN87" s="120"/>
      <c r="AO87" s="120"/>
      <c r="AP87" s="120"/>
      <c r="AQ87" s="120"/>
      <c r="AR87" s="120"/>
      <c r="AS87" s="120"/>
      <c r="AT87" s="120"/>
      <c r="AU87" s="120"/>
      <c r="AV87" s="120"/>
      <c r="AW87" s="120"/>
      <c r="AX87" s="120"/>
      <c r="AY87" s="120"/>
      <c r="AZ87" s="120"/>
      <c r="BA87" s="120"/>
      <c r="BB87" s="120"/>
      <c r="BC87" s="120"/>
      <c r="BD87" s="120"/>
      <c r="BE87" s="120"/>
      <c r="BF87" s="120"/>
      <c r="BG87" s="120"/>
      <c r="BH87" s="120"/>
      <c r="BI87" s="120"/>
      <c r="BJ87" s="120"/>
      <c r="BK87" s="120"/>
      <c r="BL87" s="120"/>
      <c r="BM87" s="120"/>
      <c r="BN87" s="120"/>
      <c r="BO87" s="120"/>
      <c r="BP87" s="120"/>
      <c r="BQ87" s="120"/>
      <c r="BR87" s="120"/>
      <c r="BS87" s="120"/>
      <c r="BT87" s="120"/>
      <c r="BU87" s="120"/>
      <c r="BV87" s="120"/>
      <c r="BW87" s="120"/>
      <c r="BX87" s="120"/>
      <c r="BY87" s="120"/>
      <c r="BZ87" s="120"/>
      <c r="CA87" s="120"/>
      <c r="CB87" s="120"/>
      <c r="CC87" s="120"/>
      <c r="CD87" s="120"/>
      <c r="CE87" s="120"/>
      <c r="CF87" s="120"/>
    </row>
    <row r="88" spans="2:84" x14ac:dyDescent="0.2">
      <c r="B88" s="120"/>
      <c r="C88" s="120"/>
      <c r="D88" s="120"/>
      <c r="E88" s="120"/>
      <c r="F88" s="120"/>
      <c r="G88" s="120"/>
      <c r="M88" s="120"/>
      <c r="N88" s="120"/>
      <c r="O88" s="120"/>
      <c r="P88" s="120"/>
      <c r="Q88" s="120"/>
      <c r="R88" s="120"/>
      <c r="S88" s="120"/>
      <c r="T88" s="120"/>
      <c r="U88" s="120"/>
      <c r="V88" s="120"/>
      <c r="W88" s="120"/>
      <c r="X88" s="120"/>
      <c r="Y88" s="120"/>
      <c r="Z88" s="120"/>
      <c r="AA88" s="120"/>
      <c r="AB88" s="120"/>
      <c r="AC88" s="120"/>
      <c r="AD88" s="120"/>
      <c r="AE88" s="120"/>
      <c r="AF88" s="120"/>
      <c r="AG88" s="120"/>
      <c r="AH88" s="120"/>
      <c r="AI88" s="120"/>
      <c r="AJ88" s="120"/>
      <c r="AK88" s="120"/>
      <c r="AL88" s="120"/>
      <c r="AM88" s="120"/>
      <c r="AN88" s="120"/>
      <c r="AO88" s="120"/>
      <c r="AP88" s="120"/>
      <c r="AQ88" s="120"/>
      <c r="AR88" s="120"/>
      <c r="AS88" s="120"/>
      <c r="AT88" s="120"/>
      <c r="AU88" s="120"/>
      <c r="AV88" s="120"/>
      <c r="AW88" s="120"/>
      <c r="AX88" s="120"/>
      <c r="AY88" s="120"/>
      <c r="AZ88" s="120"/>
      <c r="BA88" s="120"/>
      <c r="BB88" s="120"/>
      <c r="BC88" s="120"/>
      <c r="BD88" s="120"/>
      <c r="BE88" s="120"/>
      <c r="BF88" s="120"/>
      <c r="BG88" s="120"/>
      <c r="BH88" s="120"/>
      <c r="BI88" s="120"/>
      <c r="BJ88" s="120"/>
      <c r="BK88" s="120"/>
      <c r="BL88" s="120"/>
      <c r="BM88" s="120"/>
      <c r="BN88" s="120"/>
      <c r="BO88" s="120"/>
      <c r="BP88" s="120"/>
      <c r="BQ88" s="120"/>
      <c r="BR88" s="120"/>
      <c r="BS88" s="120"/>
      <c r="BT88" s="120"/>
      <c r="BU88" s="120"/>
      <c r="BV88" s="120"/>
      <c r="BW88" s="120"/>
      <c r="BX88" s="120"/>
      <c r="BY88" s="120"/>
      <c r="BZ88" s="120"/>
      <c r="CA88" s="120"/>
      <c r="CB88" s="120"/>
      <c r="CC88" s="120"/>
      <c r="CD88" s="120"/>
      <c r="CE88" s="120"/>
      <c r="CF88" s="120"/>
    </row>
    <row r="89" spans="2:84" x14ac:dyDescent="0.2">
      <c r="B89" s="120"/>
      <c r="C89" s="120"/>
      <c r="D89" s="120"/>
      <c r="E89" s="120"/>
      <c r="F89" s="120"/>
      <c r="G89" s="120"/>
      <c r="M89" s="120"/>
      <c r="N89" s="120"/>
      <c r="O89" s="120"/>
      <c r="P89" s="120"/>
      <c r="Q89" s="120"/>
      <c r="R89" s="120"/>
      <c r="S89" s="120"/>
      <c r="T89" s="120"/>
      <c r="U89" s="120"/>
      <c r="V89" s="120"/>
      <c r="W89" s="120"/>
      <c r="X89" s="120"/>
      <c r="Y89" s="120"/>
      <c r="Z89" s="120"/>
      <c r="AA89" s="120"/>
      <c r="AB89" s="120"/>
      <c r="AC89" s="120"/>
      <c r="AD89" s="120"/>
      <c r="AE89" s="120"/>
      <c r="AF89" s="120"/>
      <c r="AG89" s="120"/>
      <c r="AH89" s="120"/>
      <c r="AI89" s="120"/>
      <c r="AJ89" s="120"/>
      <c r="AK89" s="120"/>
      <c r="AL89" s="120"/>
      <c r="AM89" s="120"/>
      <c r="AN89" s="120"/>
      <c r="AO89" s="120"/>
      <c r="AP89" s="120"/>
      <c r="AQ89" s="120"/>
      <c r="AR89" s="120"/>
      <c r="AS89" s="120"/>
      <c r="AT89" s="120"/>
      <c r="AU89" s="120"/>
      <c r="AV89" s="120"/>
      <c r="AW89" s="120"/>
      <c r="AX89" s="120"/>
      <c r="AY89" s="120"/>
      <c r="AZ89" s="120"/>
      <c r="BA89" s="120"/>
      <c r="BB89" s="120"/>
      <c r="BC89" s="120"/>
      <c r="BD89" s="120"/>
      <c r="BE89" s="120"/>
      <c r="BF89" s="120"/>
      <c r="BG89" s="120"/>
      <c r="BH89" s="120"/>
      <c r="BI89" s="120"/>
      <c r="BJ89" s="120"/>
      <c r="BK89" s="120"/>
      <c r="BL89" s="120"/>
      <c r="BM89" s="120"/>
      <c r="BN89" s="120"/>
      <c r="BO89" s="120"/>
      <c r="BP89" s="120"/>
      <c r="BQ89" s="120"/>
      <c r="BR89" s="120"/>
      <c r="BS89" s="120"/>
      <c r="BT89" s="120"/>
      <c r="BU89" s="120"/>
      <c r="BV89" s="120"/>
      <c r="BW89" s="120"/>
      <c r="BX89" s="120"/>
      <c r="BY89" s="120"/>
      <c r="BZ89" s="120"/>
      <c r="CA89" s="120"/>
      <c r="CB89" s="120"/>
      <c r="CC89" s="120"/>
      <c r="CD89" s="120"/>
      <c r="CE89" s="120"/>
      <c r="CF89" s="120"/>
    </row>
    <row r="90" spans="2:84" x14ac:dyDescent="0.2">
      <c r="B90" s="120"/>
      <c r="C90" s="120"/>
      <c r="D90" s="120"/>
      <c r="E90" s="120"/>
      <c r="F90" s="120"/>
      <c r="G90" s="120"/>
      <c r="M90" s="120"/>
      <c r="N90" s="120"/>
      <c r="O90" s="120"/>
      <c r="P90" s="120"/>
      <c r="Q90" s="120"/>
      <c r="R90" s="120"/>
      <c r="S90" s="120"/>
      <c r="T90" s="120"/>
      <c r="U90" s="120"/>
      <c r="V90" s="120"/>
      <c r="W90" s="120"/>
      <c r="X90" s="120"/>
      <c r="Y90" s="120"/>
      <c r="Z90" s="120"/>
      <c r="AA90" s="120"/>
      <c r="AB90" s="120"/>
      <c r="AC90" s="120"/>
      <c r="AD90" s="120"/>
      <c r="AE90" s="120"/>
      <c r="AF90" s="120"/>
      <c r="AG90" s="120"/>
      <c r="AH90" s="120"/>
      <c r="AI90" s="120"/>
      <c r="AJ90" s="120"/>
      <c r="AK90" s="120"/>
      <c r="AL90" s="120"/>
      <c r="AM90" s="120"/>
      <c r="AN90" s="120"/>
      <c r="AO90" s="120"/>
      <c r="AP90" s="120"/>
      <c r="AQ90" s="120"/>
      <c r="AR90" s="120"/>
      <c r="AS90" s="120"/>
      <c r="AT90" s="120"/>
      <c r="AU90" s="120"/>
      <c r="AV90" s="120"/>
      <c r="AW90" s="120"/>
      <c r="AX90" s="120"/>
      <c r="AY90" s="120"/>
      <c r="AZ90" s="120"/>
      <c r="BA90" s="120"/>
      <c r="BB90" s="120"/>
      <c r="BC90" s="120"/>
      <c r="BD90" s="120"/>
      <c r="BE90" s="120"/>
      <c r="BF90" s="120"/>
      <c r="BG90" s="120"/>
      <c r="BH90" s="120"/>
      <c r="BI90" s="120"/>
      <c r="BJ90" s="120"/>
      <c r="BK90" s="120"/>
      <c r="BL90" s="120"/>
      <c r="BM90" s="120"/>
      <c r="BN90" s="120"/>
      <c r="BO90" s="120"/>
      <c r="BP90" s="120"/>
      <c r="BQ90" s="120"/>
      <c r="BR90" s="120"/>
      <c r="BS90" s="120"/>
      <c r="BT90" s="120"/>
      <c r="BU90" s="120"/>
      <c r="BV90" s="120"/>
      <c r="BW90" s="120"/>
      <c r="BX90" s="120"/>
      <c r="BY90" s="120"/>
      <c r="BZ90" s="120"/>
      <c r="CA90" s="120"/>
      <c r="CB90" s="120"/>
      <c r="CC90" s="120"/>
      <c r="CD90" s="120"/>
      <c r="CE90" s="120"/>
      <c r="CF90" s="120"/>
    </row>
    <row r="91" spans="2:84" x14ac:dyDescent="0.2">
      <c r="B91" s="120"/>
      <c r="C91" s="120"/>
      <c r="D91" s="120"/>
      <c r="E91" s="120"/>
      <c r="F91" s="120"/>
      <c r="G91" s="120"/>
      <c r="M91" s="120"/>
      <c r="N91" s="120"/>
      <c r="O91" s="120"/>
      <c r="P91" s="120"/>
      <c r="Q91" s="120"/>
      <c r="R91" s="120"/>
      <c r="S91" s="120"/>
      <c r="T91" s="120"/>
      <c r="U91" s="120"/>
      <c r="V91" s="120"/>
      <c r="W91" s="120"/>
      <c r="X91" s="120"/>
      <c r="Y91" s="120"/>
      <c r="Z91" s="120"/>
      <c r="AA91" s="120"/>
      <c r="AB91" s="120"/>
      <c r="AC91" s="120"/>
      <c r="AD91" s="120"/>
      <c r="AE91" s="120"/>
      <c r="AF91" s="120"/>
      <c r="AG91" s="120"/>
      <c r="AH91" s="120"/>
      <c r="AI91" s="120"/>
      <c r="AJ91" s="120"/>
      <c r="AK91" s="120"/>
      <c r="AL91" s="120"/>
      <c r="AM91" s="120"/>
      <c r="AN91" s="120"/>
      <c r="AO91" s="120"/>
      <c r="AP91" s="120"/>
      <c r="AQ91" s="120"/>
      <c r="AR91" s="120"/>
      <c r="AS91" s="120"/>
      <c r="AT91" s="120"/>
      <c r="AU91" s="120"/>
      <c r="AV91" s="120"/>
      <c r="AW91" s="120"/>
      <c r="AX91" s="120"/>
      <c r="AY91" s="120"/>
      <c r="AZ91" s="120"/>
      <c r="BA91" s="120"/>
      <c r="BB91" s="120"/>
      <c r="BC91" s="120"/>
      <c r="BD91" s="120"/>
      <c r="BE91" s="120"/>
      <c r="BF91" s="120"/>
      <c r="BG91" s="120"/>
      <c r="BH91" s="120"/>
      <c r="BI91" s="120"/>
      <c r="BJ91" s="120"/>
      <c r="BK91" s="120"/>
      <c r="BL91" s="120"/>
      <c r="BM91" s="120"/>
      <c r="BN91" s="120"/>
      <c r="BO91" s="120"/>
      <c r="BP91" s="120"/>
      <c r="BQ91" s="120"/>
      <c r="BR91" s="120"/>
      <c r="BS91" s="120"/>
      <c r="BT91" s="120"/>
      <c r="BU91" s="120"/>
      <c r="BV91" s="120"/>
      <c r="BW91" s="120"/>
      <c r="BX91" s="120"/>
      <c r="BY91" s="120"/>
      <c r="BZ91" s="120"/>
      <c r="CA91" s="120"/>
      <c r="CB91" s="120"/>
      <c r="CC91" s="120"/>
      <c r="CD91" s="120"/>
      <c r="CE91" s="120"/>
      <c r="CF91" s="120"/>
    </row>
    <row r="92" spans="2:84" x14ac:dyDescent="0.2">
      <c r="B92" s="120"/>
      <c r="C92" s="120"/>
      <c r="D92" s="120"/>
      <c r="E92" s="120"/>
      <c r="F92" s="120"/>
      <c r="G92" s="120"/>
      <c r="M92" s="120"/>
      <c r="N92" s="120"/>
      <c r="O92" s="120"/>
      <c r="P92" s="120"/>
      <c r="Q92" s="120"/>
      <c r="R92" s="120"/>
      <c r="S92" s="120"/>
      <c r="T92" s="120"/>
      <c r="U92" s="120"/>
      <c r="V92" s="120"/>
      <c r="W92" s="120"/>
      <c r="X92" s="120"/>
      <c r="Y92" s="120"/>
      <c r="Z92" s="120"/>
      <c r="AA92" s="120"/>
      <c r="AB92" s="120"/>
      <c r="AC92" s="120"/>
      <c r="AD92" s="120"/>
      <c r="AE92" s="120"/>
      <c r="AF92" s="120"/>
      <c r="AG92" s="120"/>
      <c r="AH92" s="120"/>
      <c r="AI92" s="120"/>
      <c r="AJ92" s="120"/>
      <c r="AK92" s="120"/>
      <c r="AL92" s="120"/>
      <c r="AM92" s="120"/>
      <c r="AN92" s="120"/>
      <c r="AO92" s="120"/>
      <c r="AP92" s="120"/>
      <c r="AQ92" s="120"/>
      <c r="AR92" s="120"/>
      <c r="AS92" s="120"/>
      <c r="AT92" s="120"/>
      <c r="AU92" s="120"/>
      <c r="AV92" s="120"/>
      <c r="AW92" s="120"/>
      <c r="AX92" s="120"/>
      <c r="AY92" s="120"/>
      <c r="AZ92" s="120"/>
      <c r="BA92" s="120"/>
      <c r="BB92" s="120"/>
      <c r="BC92" s="120"/>
      <c r="BD92" s="120"/>
      <c r="BE92" s="120"/>
      <c r="BF92" s="120"/>
      <c r="BG92" s="120"/>
      <c r="BH92" s="120"/>
      <c r="BI92" s="120"/>
      <c r="BJ92" s="120"/>
      <c r="BK92" s="120"/>
      <c r="BL92" s="120"/>
      <c r="BM92" s="120"/>
      <c r="BN92" s="120"/>
      <c r="BO92" s="120"/>
      <c r="BP92" s="120"/>
      <c r="BQ92" s="120"/>
      <c r="BR92" s="120"/>
      <c r="BS92" s="120"/>
      <c r="BT92" s="120"/>
      <c r="BU92" s="120"/>
      <c r="BV92" s="120"/>
      <c r="BW92" s="120"/>
      <c r="BX92" s="120"/>
      <c r="BY92" s="120"/>
      <c r="BZ92" s="120"/>
      <c r="CA92" s="120"/>
      <c r="CB92" s="120"/>
      <c r="CC92" s="120"/>
      <c r="CD92" s="120"/>
      <c r="CE92" s="120"/>
      <c r="CF92" s="120"/>
    </row>
    <row r="93" spans="2:84" x14ac:dyDescent="0.2">
      <c r="B93" s="120"/>
      <c r="C93" s="120"/>
      <c r="D93" s="120"/>
      <c r="E93" s="120"/>
      <c r="F93" s="120"/>
      <c r="G93" s="120"/>
      <c r="M93" s="120"/>
      <c r="N93" s="120"/>
      <c r="O93" s="120"/>
      <c r="P93" s="120"/>
      <c r="Q93" s="120"/>
      <c r="R93" s="120"/>
      <c r="S93" s="120"/>
      <c r="T93" s="120"/>
      <c r="U93" s="120"/>
      <c r="V93" s="120"/>
      <c r="W93" s="120"/>
      <c r="X93" s="120"/>
      <c r="Y93" s="120"/>
      <c r="Z93" s="120"/>
      <c r="AA93" s="120"/>
      <c r="AB93" s="120"/>
      <c r="AC93" s="120"/>
      <c r="AD93" s="120"/>
      <c r="AE93" s="120"/>
      <c r="AF93" s="120"/>
      <c r="AG93" s="120"/>
      <c r="AH93" s="120"/>
      <c r="AI93" s="120"/>
      <c r="AJ93" s="120"/>
      <c r="AK93" s="120"/>
      <c r="AL93" s="120"/>
      <c r="AM93" s="120"/>
      <c r="AN93" s="120"/>
      <c r="AO93" s="120"/>
      <c r="AP93" s="120"/>
      <c r="AQ93" s="120"/>
      <c r="AR93" s="120"/>
      <c r="AS93" s="120"/>
      <c r="AT93" s="120"/>
      <c r="AU93" s="120"/>
      <c r="AV93" s="120"/>
      <c r="AW93" s="120"/>
      <c r="AX93" s="120"/>
      <c r="AY93" s="120"/>
      <c r="AZ93" s="120"/>
      <c r="BA93" s="120"/>
      <c r="BB93" s="120"/>
      <c r="BC93" s="120"/>
      <c r="BD93" s="120"/>
      <c r="BE93" s="120"/>
      <c r="BF93" s="120"/>
      <c r="BG93" s="120"/>
      <c r="BH93" s="120"/>
      <c r="BI93" s="120"/>
      <c r="BJ93" s="120"/>
      <c r="BK93" s="120"/>
      <c r="BL93" s="120"/>
      <c r="BM93" s="120"/>
      <c r="BN93" s="120"/>
      <c r="BO93" s="120"/>
      <c r="BP93" s="120"/>
      <c r="BQ93" s="120"/>
      <c r="BR93" s="120"/>
      <c r="BS93" s="120"/>
      <c r="BT93" s="120"/>
      <c r="BU93" s="120"/>
      <c r="BV93" s="120"/>
      <c r="BW93" s="120"/>
      <c r="BX93" s="120"/>
      <c r="BY93" s="120"/>
      <c r="BZ93" s="120"/>
      <c r="CA93" s="120"/>
      <c r="CB93" s="120"/>
      <c r="CC93" s="120"/>
      <c r="CD93" s="120"/>
      <c r="CE93" s="120"/>
      <c r="CF93" s="120"/>
    </row>
    <row r="94" spans="2:84" x14ac:dyDescent="0.2">
      <c r="B94" s="120"/>
      <c r="C94" s="120"/>
      <c r="D94" s="120"/>
      <c r="E94" s="120"/>
      <c r="F94" s="120"/>
      <c r="G94" s="120"/>
      <c r="M94" s="120"/>
      <c r="N94" s="120"/>
      <c r="O94" s="120"/>
      <c r="P94" s="120"/>
      <c r="Q94" s="120"/>
      <c r="R94" s="120"/>
      <c r="S94" s="120"/>
      <c r="T94" s="120"/>
      <c r="U94" s="120"/>
      <c r="V94" s="120"/>
      <c r="W94" s="120"/>
      <c r="X94" s="120"/>
      <c r="Y94" s="120"/>
      <c r="Z94" s="120"/>
      <c r="AA94" s="120"/>
      <c r="AB94" s="120"/>
      <c r="AC94" s="120"/>
      <c r="AD94" s="120"/>
      <c r="AE94" s="120"/>
      <c r="AF94" s="120"/>
      <c r="AG94" s="120"/>
      <c r="AH94" s="120"/>
      <c r="AI94" s="120"/>
      <c r="AJ94" s="120"/>
      <c r="AK94" s="120"/>
      <c r="AL94" s="120"/>
      <c r="AM94" s="120"/>
      <c r="AN94" s="120"/>
      <c r="AO94" s="120"/>
      <c r="AP94" s="120"/>
      <c r="AQ94" s="120"/>
      <c r="AR94" s="120"/>
      <c r="AS94" s="120"/>
      <c r="AT94" s="120"/>
      <c r="AU94" s="120"/>
      <c r="AV94" s="120"/>
      <c r="AW94" s="120"/>
      <c r="AX94" s="120"/>
      <c r="AY94" s="120"/>
      <c r="AZ94" s="120"/>
      <c r="BA94" s="120"/>
      <c r="BB94" s="120"/>
      <c r="BC94" s="120"/>
      <c r="BD94" s="120"/>
      <c r="BE94" s="120"/>
      <c r="BF94" s="120"/>
      <c r="BG94" s="120"/>
      <c r="BH94" s="120"/>
      <c r="BI94" s="120"/>
      <c r="BJ94" s="120"/>
      <c r="BK94" s="120"/>
      <c r="BL94" s="120"/>
      <c r="BM94" s="120"/>
      <c r="BN94" s="120"/>
      <c r="BO94" s="120"/>
      <c r="BP94" s="120"/>
      <c r="BQ94" s="120"/>
      <c r="BR94" s="120"/>
      <c r="BS94" s="120"/>
      <c r="BT94" s="120"/>
      <c r="BU94" s="120"/>
      <c r="BV94" s="120"/>
      <c r="BW94" s="120"/>
      <c r="BX94" s="120"/>
      <c r="BY94" s="120"/>
      <c r="BZ94" s="120"/>
      <c r="CA94" s="120"/>
      <c r="CB94" s="120"/>
      <c r="CC94" s="120"/>
      <c r="CD94" s="120"/>
      <c r="CE94" s="120"/>
      <c r="CF94" s="120"/>
    </row>
    <row r="95" spans="2:84" x14ac:dyDescent="0.2">
      <c r="B95" s="120"/>
      <c r="C95" s="120"/>
      <c r="D95" s="120"/>
      <c r="E95" s="120"/>
      <c r="F95" s="120"/>
      <c r="G95" s="120"/>
      <c r="M95" s="120"/>
      <c r="N95" s="120"/>
      <c r="O95" s="120"/>
      <c r="P95" s="120"/>
      <c r="Q95" s="120"/>
      <c r="R95" s="120"/>
      <c r="S95" s="120"/>
      <c r="T95" s="120"/>
      <c r="U95" s="120"/>
      <c r="V95" s="120"/>
      <c r="W95" s="120"/>
      <c r="X95" s="120"/>
      <c r="Y95" s="120"/>
      <c r="Z95" s="120"/>
      <c r="AA95" s="120"/>
      <c r="AB95" s="120"/>
      <c r="AC95" s="120"/>
      <c r="AD95" s="120"/>
      <c r="AE95" s="120"/>
      <c r="AF95" s="120"/>
      <c r="AG95" s="120"/>
      <c r="AH95" s="120"/>
      <c r="AI95" s="120"/>
      <c r="AJ95" s="120"/>
      <c r="AK95" s="120"/>
      <c r="AL95" s="120"/>
      <c r="AM95" s="120"/>
      <c r="AN95" s="120"/>
      <c r="AO95" s="120"/>
      <c r="AP95" s="120"/>
      <c r="AQ95" s="120"/>
      <c r="AR95" s="120"/>
      <c r="AS95" s="120"/>
      <c r="AT95" s="120"/>
      <c r="AU95" s="120"/>
      <c r="AV95" s="120"/>
      <c r="AW95" s="120"/>
      <c r="AX95" s="120"/>
      <c r="AY95" s="120"/>
      <c r="AZ95" s="120"/>
      <c r="BA95" s="120"/>
      <c r="BB95" s="120"/>
      <c r="BC95" s="120"/>
      <c r="BD95" s="120"/>
      <c r="BE95" s="120"/>
      <c r="BF95" s="120"/>
      <c r="BG95" s="120"/>
      <c r="BH95" s="120"/>
      <c r="BI95" s="120"/>
      <c r="BJ95" s="120"/>
      <c r="BK95" s="120"/>
      <c r="BL95" s="120"/>
      <c r="BM95" s="120"/>
      <c r="BN95" s="120"/>
      <c r="BO95" s="120"/>
      <c r="BP95" s="120"/>
      <c r="BQ95" s="120"/>
      <c r="BR95" s="120"/>
      <c r="BS95" s="120"/>
      <c r="BT95" s="120"/>
      <c r="BU95" s="120"/>
      <c r="BV95" s="120"/>
      <c r="BW95" s="120"/>
      <c r="BX95" s="120"/>
      <c r="BY95" s="120"/>
      <c r="BZ95" s="120"/>
      <c r="CA95" s="120"/>
      <c r="CB95" s="120"/>
      <c r="CC95" s="120"/>
      <c r="CD95" s="120"/>
      <c r="CE95" s="120"/>
      <c r="CF95" s="120"/>
    </row>
    <row r="96" spans="2:84" x14ac:dyDescent="0.2">
      <c r="B96" s="120"/>
      <c r="C96" s="120"/>
      <c r="D96" s="120"/>
      <c r="E96" s="120"/>
      <c r="F96" s="120"/>
      <c r="G96" s="120"/>
      <c r="M96" s="120"/>
      <c r="N96" s="120"/>
      <c r="O96" s="120"/>
      <c r="P96" s="120"/>
      <c r="Q96" s="120"/>
      <c r="R96" s="120"/>
      <c r="S96" s="120"/>
      <c r="T96" s="120"/>
      <c r="U96" s="120"/>
      <c r="V96" s="120"/>
      <c r="W96" s="120"/>
      <c r="X96" s="120"/>
      <c r="Y96" s="120"/>
      <c r="Z96" s="120"/>
      <c r="AA96" s="120"/>
      <c r="AB96" s="120"/>
      <c r="AC96" s="120"/>
      <c r="AD96" s="120"/>
      <c r="AE96" s="120"/>
      <c r="AF96" s="120"/>
      <c r="AG96" s="120"/>
      <c r="AH96" s="120"/>
      <c r="AI96" s="120"/>
      <c r="AJ96" s="120"/>
      <c r="AK96" s="120"/>
      <c r="AL96" s="120"/>
      <c r="AM96" s="120"/>
      <c r="AN96" s="120"/>
      <c r="AO96" s="120"/>
      <c r="AP96" s="120"/>
      <c r="AQ96" s="120"/>
      <c r="AR96" s="120"/>
      <c r="AS96" s="120"/>
      <c r="AT96" s="120"/>
      <c r="AU96" s="120"/>
      <c r="AV96" s="120"/>
      <c r="AW96" s="120"/>
      <c r="AX96" s="120"/>
      <c r="AY96" s="120"/>
      <c r="AZ96" s="120"/>
      <c r="BA96" s="120"/>
      <c r="BB96" s="120"/>
      <c r="BC96" s="120"/>
      <c r="BD96" s="120"/>
      <c r="BE96" s="120"/>
      <c r="BF96" s="120"/>
      <c r="BG96" s="120"/>
      <c r="BH96" s="120"/>
      <c r="BI96" s="120"/>
      <c r="BJ96" s="120"/>
      <c r="BK96" s="120"/>
      <c r="BL96" s="120"/>
      <c r="BM96" s="120"/>
      <c r="BN96" s="120"/>
      <c r="BO96" s="120"/>
      <c r="BP96" s="120"/>
      <c r="BQ96" s="120"/>
      <c r="BR96" s="120"/>
      <c r="BS96" s="120"/>
      <c r="BT96" s="120"/>
      <c r="BU96" s="120"/>
      <c r="BV96" s="120"/>
      <c r="BW96" s="120"/>
      <c r="BX96" s="120"/>
      <c r="BY96" s="120"/>
      <c r="BZ96" s="120"/>
      <c r="CA96" s="120"/>
      <c r="CB96" s="120"/>
      <c r="CC96" s="120"/>
      <c r="CD96" s="120"/>
      <c r="CE96" s="120"/>
      <c r="CF96" s="120"/>
    </row>
    <row r="97" spans="2:84" x14ac:dyDescent="0.2">
      <c r="B97" s="120"/>
      <c r="C97" s="120"/>
      <c r="D97" s="120"/>
      <c r="E97" s="120"/>
      <c r="F97" s="120"/>
      <c r="G97" s="120"/>
      <c r="M97" s="120"/>
      <c r="N97" s="120"/>
      <c r="O97" s="120"/>
      <c r="P97" s="120"/>
      <c r="Q97" s="120"/>
      <c r="R97" s="120"/>
      <c r="S97" s="120"/>
      <c r="T97" s="120"/>
      <c r="U97" s="120"/>
      <c r="V97" s="120"/>
      <c r="W97" s="120"/>
      <c r="X97" s="120"/>
      <c r="Y97" s="120"/>
      <c r="Z97" s="120"/>
      <c r="AA97" s="120"/>
      <c r="AB97" s="120"/>
      <c r="AC97" s="120"/>
      <c r="AD97" s="120"/>
      <c r="AE97" s="120"/>
      <c r="AF97" s="120"/>
      <c r="AG97" s="120"/>
      <c r="AH97" s="120"/>
      <c r="AI97" s="120"/>
      <c r="AJ97" s="120"/>
      <c r="AK97" s="120"/>
      <c r="AL97" s="120"/>
      <c r="AM97" s="120"/>
      <c r="AN97" s="120"/>
      <c r="AO97" s="120"/>
      <c r="AP97" s="120"/>
      <c r="AQ97" s="120"/>
      <c r="AR97" s="120"/>
      <c r="AS97" s="120"/>
      <c r="AT97" s="120"/>
      <c r="AU97" s="120"/>
      <c r="AV97" s="120"/>
      <c r="AW97" s="120"/>
      <c r="AX97" s="120"/>
      <c r="AY97" s="120"/>
      <c r="AZ97" s="120"/>
      <c r="BA97" s="120"/>
      <c r="BB97" s="120"/>
      <c r="BC97" s="120"/>
      <c r="BD97" s="120"/>
      <c r="BE97" s="120"/>
      <c r="BF97" s="120"/>
      <c r="BG97" s="120"/>
      <c r="BH97" s="120"/>
      <c r="BI97" s="120"/>
      <c r="BJ97" s="120"/>
      <c r="BK97" s="120"/>
      <c r="BL97" s="120"/>
      <c r="BM97" s="120"/>
      <c r="BN97" s="120"/>
      <c r="BO97" s="120"/>
      <c r="BP97" s="120"/>
      <c r="BQ97" s="120"/>
      <c r="BR97" s="120"/>
      <c r="BS97" s="120"/>
      <c r="BT97" s="120"/>
      <c r="BU97" s="120"/>
      <c r="BV97" s="120"/>
      <c r="BW97" s="120"/>
      <c r="BX97" s="120"/>
      <c r="BY97" s="120"/>
      <c r="BZ97" s="120"/>
      <c r="CA97" s="120"/>
      <c r="CB97" s="120"/>
      <c r="CC97" s="120"/>
      <c r="CD97" s="120"/>
      <c r="CE97" s="120"/>
      <c r="CF97" s="120"/>
    </row>
    <row r="98" spans="2:84" x14ac:dyDescent="0.2">
      <c r="B98" s="120"/>
      <c r="C98" s="120"/>
      <c r="D98" s="120"/>
      <c r="E98" s="120"/>
      <c r="F98" s="120"/>
      <c r="G98" s="120"/>
      <c r="M98" s="120"/>
      <c r="N98" s="120"/>
      <c r="O98" s="120"/>
      <c r="P98" s="120"/>
      <c r="Q98" s="120"/>
      <c r="R98" s="120"/>
      <c r="S98" s="120"/>
      <c r="T98" s="120"/>
      <c r="U98" s="120"/>
      <c r="V98" s="120"/>
      <c r="W98" s="120"/>
      <c r="X98" s="120"/>
      <c r="Y98" s="120"/>
      <c r="Z98" s="120"/>
      <c r="AA98" s="120"/>
      <c r="AB98" s="120"/>
      <c r="AC98" s="120"/>
      <c r="AD98" s="120"/>
      <c r="AE98" s="120"/>
      <c r="AF98" s="120"/>
      <c r="AG98" s="120"/>
      <c r="AH98" s="120"/>
      <c r="AI98" s="120"/>
      <c r="AJ98" s="120"/>
      <c r="AK98" s="120"/>
      <c r="AL98" s="120"/>
      <c r="AM98" s="120"/>
      <c r="AN98" s="120"/>
      <c r="AO98" s="120"/>
      <c r="AP98" s="120"/>
      <c r="AQ98" s="120"/>
      <c r="AR98" s="120"/>
      <c r="AS98" s="120"/>
      <c r="AT98" s="120"/>
      <c r="AU98" s="120"/>
      <c r="AV98" s="120"/>
      <c r="AW98" s="120"/>
      <c r="AX98" s="120"/>
      <c r="AY98" s="120"/>
      <c r="AZ98" s="120"/>
      <c r="BA98" s="120"/>
      <c r="BB98" s="120"/>
      <c r="BC98" s="120"/>
      <c r="BD98" s="120"/>
      <c r="BE98" s="120"/>
      <c r="BF98" s="120"/>
      <c r="BG98" s="120"/>
      <c r="BH98" s="120"/>
      <c r="BI98" s="120"/>
      <c r="BJ98" s="120"/>
      <c r="BK98" s="120"/>
      <c r="BL98" s="120"/>
      <c r="BM98" s="120"/>
      <c r="BN98" s="120"/>
      <c r="BO98" s="120"/>
      <c r="BP98" s="120"/>
      <c r="BQ98" s="120"/>
      <c r="BR98" s="120"/>
      <c r="BS98" s="120"/>
      <c r="BT98" s="120"/>
      <c r="BU98" s="120"/>
      <c r="BV98" s="120"/>
      <c r="BW98" s="120"/>
      <c r="BX98" s="120"/>
      <c r="BY98" s="120"/>
      <c r="BZ98" s="120"/>
      <c r="CA98" s="120"/>
      <c r="CB98" s="120"/>
      <c r="CC98" s="120"/>
      <c r="CD98" s="120"/>
      <c r="CE98" s="120"/>
      <c r="CF98" s="120"/>
    </row>
    <row r="99" spans="2:84" x14ac:dyDescent="0.2">
      <c r="B99" s="120"/>
      <c r="C99" s="120"/>
      <c r="D99" s="120"/>
      <c r="E99" s="120"/>
      <c r="F99" s="120"/>
      <c r="G99" s="120"/>
      <c r="M99" s="120"/>
      <c r="N99" s="120"/>
      <c r="O99" s="120"/>
      <c r="P99" s="120"/>
      <c r="Q99" s="120"/>
      <c r="R99" s="120"/>
      <c r="S99" s="120"/>
      <c r="T99" s="120"/>
      <c r="U99" s="120"/>
      <c r="V99" s="120"/>
      <c r="W99" s="120"/>
      <c r="X99" s="120"/>
      <c r="Y99" s="120"/>
      <c r="Z99" s="120"/>
      <c r="AA99" s="120"/>
      <c r="AB99" s="120"/>
      <c r="AC99" s="120"/>
      <c r="AD99" s="120"/>
      <c r="AE99" s="120"/>
      <c r="AF99" s="120"/>
      <c r="AG99" s="120"/>
      <c r="AH99" s="120"/>
      <c r="AI99" s="120"/>
      <c r="AJ99" s="120"/>
      <c r="AK99" s="120"/>
      <c r="AL99" s="120"/>
      <c r="AM99" s="120"/>
      <c r="AN99" s="120"/>
      <c r="AO99" s="120"/>
      <c r="AP99" s="120"/>
      <c r="AQ99" s="120"/>
      <c r="AR99" s="120"/>
      <c r="AS99" s="120"/>
      <c r="AT99" s="120"/>
      <c r="AU99" s="120"/>
      <c r="AV99" s="120"/>
      <c r="AW99" s="120"/>
      <c r="AX99" s="120"/>
      <c r="AY99" s="120"/>
      <c r="AZ99" s="120"/>
      <c r="BA99" s="120"/>
      <c r="BB99" s="120"/>
      <c r="BC99" s="120"/>
      <c r="BD99" s="120"/>
      <c r="BE99" s="120"/>
      <c r="BF99" s="120"/>
      <c r="BG99" s="120"/>
      <c r="BH99" s="120"/>
      <c r="BI99" s="120"/>
      <c r="BJ99" s="120"/>
      <c r="BK99" s="120"/>
      <c r="BL99" s="120"/>
      <c r="BM99" s="120"/>
      <c r="BN99" s="120"/>
      <c r="BO99" s="120"/>
      <c r="BP99" s="120"/>
      <c r="BQ99" s="120"/>
      <c r="BR99" s="120"/>
      <c r="BS99" s="120"/>
      <c r="BT99" s="120"/>
      <c r="BU99" s="120"/>
      <c r="BV99" s="120"/>
      <c r="BW99" s="120"/>
      <c r="BX99" s="120"/>
      <c r="BY99" s="120"/>
      <c r="BZ99" s="120"/>
      <c r="CA99" s="120"/>
      <c r="CB99" s="120"/>
      <c r="CC99" s="120"/>
      <c r="CD99" s="120"/>
      <c r="CE99" s="120"/>
      <c r="CF99" s="120"/>
    </row>
    <row r="100" spans="2:84" x14ac:dyDescent="0.2">
      <c r="B100" s="120"/>
      <c r="C100" s="120"/>
      <c r="D100" s="120"/>
      <c r="E100" s="120"/>
      <c r="F100" s="120"/>
      <c r="G100" s="120"/>
      <c r="M100" s="120"/>
      <c r="N100" s="120"/>
      <c r="O100" s="120"/>
      <c r="P100" s="120"/>
      <c r="Q100" s="120"/>
      <c r="R100" s="120"/>
      <c r="S100" s="120"/>
      <c r="T100" s="120"/>
      <c r="U100" s="120"/>
      <c r="V100" s="120"/>
      <c r="W100" s="120"/>
      <c r="X100" s="120"/>
      <c r="Y100" s="120"/>
      <c r="Z100" s="120"/>
      <c r="AA100" s="120"/>
      <c r="AB100" s="120"/>
      <c r="AC100" s="120"/>
      <c r="AD100" s="120"/>
      <c r="AE100" s="120"/>
      <c r="AF100" s="120"/>
      <c r="AG100" s="120"/>
      <c r="AH100" s="120"/>
      <c r="AI100" s="120"/>
      <c r="AJ100" s="120"/>
      <c r="AK100" s="120"/>
      <c r="AL100" s="120"/>
      <c r="AM100" s="120"/>
      <c r="AN100" s="120"/>
      <c r="AO100" s="120"/>
      <c r="AP100" s="120"/>
      <c r="AQ100" s="120"/>
      <c r="AR100" s="120"/>
      <c r="AS100" s="120"/>
      <c r="AT100" s="120"/>
      <c r="AU100" s="120"/>
      <c r="AV100" s="120"/>
      <c r="AW100" s="120"/>
      <c r="AX100" s="120"/>
      <c r="AY100" s="120"/>
      <c r="AZ100" s="120"/>
      <c r="BA100" s="120"/>
      <c r="BB100" s="120"/>
      <c r="BC100" s="120"/>
      <c r="BD100" s="120"/>
      <c r="BE100" s="120"/>
      <c r="BF100" s="120"/>
      <c r="BG100" s="120"/>
      <c r="BH100" s="120"/>
      <c r="BI100" s="120"/>
      <c r="BJ100" s="120"/>
      <c r="BK100" s="120"/>
      <c r="BL100" s="120"/>
      <c r="BM100" s="120"/>
      <c r="BN100" s="120"/>
      <c r="BO100" s="120"/>
      <c r="BP100" s="120"/>
      <c r="BQ100" s="120"/>
      <c r="BR100" s="120"/>
      <c r="BS100" s="120"/>
      <c r="BT100" s="120"/>
      <c r="BU100" s="120"/>
      <c r="BV100" s="120"/>
      <c r="BW100" s="120"/>
      <c r="BX100" s="120"/>
      <c r="BY100" s="120"/>
      <c r="BZ100" s="120"/>
      <c r="CA100" s="120"/>
      <c r="CB100" s="120"/>
      <c r="CC100" s="120"/>
      <c r="CD100" s="120"/>
      <c r="CE100" s="120"/>
      <c r="CF100" s="120"/>
    </row>
    <row r="101" spans="2:84" x14ac:dyDescent="0.2">
      <c r="B101" s="120"/>
      <c r="C101" s="120"/>
      <c r="D101" s="120"/>
      <c r="E101" s="120"/>
      <c r="F101" s="120"/>
      <c r="G101" s="120"/>
      <c r="M101" s="120"/>
      <c r="N101" s="120"/>
      <c r="O101" s="120"/>
      <c r="P101" s="120"/>
      <c r="Q101" s="120"/>
      <c r="R101" s="120"/>
      <c r="S101" s="120"/>
      <c r="T101" s="120"/>
      <c r="U101" s="120"/>
      <c r="V101" s="120"/>
      <c r="W101" s="120"/>
      <c r="X101" s="120"/>
      <c r="Y101" s="120"/>
      <c r="Z101" s="120"/>
      <c r="AA101" s="120"/>
      <c r="AB101" s="120"/>
      <c r="AC101" s="120"/>
      <c r="AD101" s="120"/>
      <c r="AE101" s="120"/>
      <c r="AF101" s="120"/>
      <c r="AG101" s="120"/>
      <c r="AH101" s="120"/>
      <c r="AI101" s="120"/>
      <c r="AJ101" s="120"/>
      <c r="AK101" s="120"/>
      <c r="AL101" s="120"/>
      <c r="AM101" s="120"/>
      <c r="AN101" s="120"/>
      <c r="AO101" s="120"/>
      <c r="AP101" s="120"/>
      <c r="AQ101" s="120"/>
      <c r="AR101" s="120"/>
      <c r="AS101" s="120"/>
      <c r="AT101" s="120"/>
      <c r="AU101" s="120"/>
      <c r="AV101" s="120"/>
      <c r="AW101" s="120"/>
      <c r="AX101" s="120"/>
      <c r="AY101" s="120"/>
      <c r="AZ101" s="120"/>
      <c r="BA101" s="120"/>
      <c r="BB101" s="120"/>
      <c r="BC101" s="120"/>
      <c r="BD101" s="120"/>
      <c r="BE101" s="120"/>
      <c r="BF101" s="120"/>
      <c r="BG101" s="120"/>
      <c r="BH101" s="120"/>
      <c r="BI101" s="120"/>
      <c r="BJ101" s="120"/>
      <c r="BK101" s="120"/>
      <c r="BL101" s="120"/>
      <c r="BM101" s="120"/>
      <c r="BN101" s="120"/>
      <c r="BO101" s="120"/>
      <c r="BP101" s="120"/>
      <c r="BQ101" s="120"/>
      <c r="BR101" s="120"/>
      <c r="BS101" s="120"/>
      <c r="BT101" s="120"/>
      <c r="BU101" s="120"/>
      <c r="BV101" s="120"/>
      <c r="BW101" s="120"/>
      <c r="BX101" s="120"/>
      <c r="BY101" s="120"/>
      <c r="BZ101" s="120"/>
      <c r="CA101" s="120"/>
      <c r="CB101" s="120"/>
      <c r="CC101" s="120"/>
      <c r="CD101" s="120"/>
      <c r="CE101" s="120"/>
      <c r="CF101" s="120"/>
    </row>
    <row r="102" spans="2:84" x14ac:dyDescent="0.2">
      <c r="B102" s="120"/>
      <c r="C102" s="120"/>
      <c r="D102" s="120"/>
      <c r="E102" s="120"/>
      <c r="F102" s="120"/>
      <c r="G102" s="120"/>
      <c r="M102" s="120"/>
      <c r="N102" s="120"/>
      <c r="O102" s="120"/>
      <c r="P102" s="120"/>
      <c r="Q102" s="120"/>
      <c r="R102" s="120"/>
      <c r="S102" s="120"/>
      <c r="T102" s="120"/>
      <c r="U102" s="120"/>
      <c r="V102" s="120"/>
      <c r="W102" s="120"/>
      <c r="X102" s="120"/>
      <c r="Y102" s="120"/>
      <c r="Z102" s="120"/>
      <c r="AA102" s="120"/>
      <c r="AB102" s="120"/>
      <c r="AC102" s="120"/>
      <c r="AD102" s="120"/>
      <c r="AE102" s="120"/>
      <c r="AF102" s="120"/>
      <c r="AG102" s="120"/>
      <c r="AH102" s="120"/>
      <c r="AI102" s="120"/>
      <c r="AJ102" s="120"/>
      <c r="AK102" s="120"/>
      <c r="AL102" s="120"/>
      <c r="AM102" s="120"/>
      <c r="AN102" s="120"/>
      <c r="AO102" s="120"/>
      <c r="AP102" s="120"/>
      <c r="AQ102" s="120"/>
      <c r="AR102" s="120"/>
      <c r="AS102" s="120"/>
      <c r="AT102" s="120"/>
      <c r="AU102" s="120"/>
      <c r="AV102" s="120"/>
      <c r="AW102" s="120"/>
      <c r="AX102" s="120"/>
      <c r="AY102" s="120"/>
      <c r="AZ102" s="120"/>
      <c r="BA102" s="120"/>
      <c r="BB102" s="120"/>
      <c r="BC102" s="120"/>
      <c r="BD102" s="120"/>
      <c r="BE102" s="120"/>
      <c r="BF102" s="120"/>
      <c r="BG102" s="120"/>
      <c r="BH102" s="120"/>
      <c r="BI102" s="120"/>
      <c r="BJ102" s="120"/>
      <c r="BK102" s="120"/>
      <c r="BL102" s="120"/>
      <c r="BM102" s="120"/>
      <c r="BN102" s="120"/>
      <c r="BO102" s="120"/>
      <c r="BP102" s="120"/>
      <c r="BQ102" s="120"/>
      <c r="BR102" s="120"/>
      <c r="BS102" s="120"/>
      <c r="BT102" s="120"/>
      <c r="BU102" s="120"/>
      <c r="BV102" s="120"/>
      <c r="BW102" s="120"/>
      <c r="BX102" s="120"/>
      <c r="BY102" s="120"/>
      <c r="BZ102" s="120"/>
      <c r="CA102" s="120"/>
      <c r="CB102" s="120"/>
      <c r="CC102" s="120"/>
      <c r="CD102" s="120"/>
      <c r="CE102" s="120"/>
      <c r="CF102" s="120"/>
    </row>
    <row r="103" spans="2:84" x14ac:dyDescent="0.2">
      <c r="B103" s="120"/>
      <c r="C103" s="120"/>
      <c r="D103" s="120"/>
      <c r="E103" s="120"/>
      <c r="F103" s="120"/>
      <c r="G103" s="120"/>
      <c r="M103" s="120"/>
      <c r="N103" s="120"/>
      <c r="O103" s="120"/>
      <c r="P103" s="120"/>
      <c r="Q103" s="120"/>
      <c r="R103" s="120"/>
      <c r="S103" s="120"/>
      <c r="T103" s="120"/>
      <c r="U103" s="120"/>
      <c r="V103" s="120"/>
      <c r="W103" s="120"/>
      <c r="X103" s="120"/>
      <c r="Y103" s="120"/>
      <c r="Z103" s="120"/>
      <c r="AA103" s="120"/>
      <c r="AB103" s="120"/>
      <c r="AC103" s="120"/>
      <c r="AD103" s="120"/>
      <c r="AE103" s="120"/>
      <c r="AF103" s="120"/>
      <c r="AG103" s="120"/>
      <c r="AH103" s="120"/>
      <c r="AI103" s="120"/>
      <c r="AJ103" s="120"/>
      <c r="AK103" s="120"/>
      <c r="AL103" s="120"/>
      <c r="AM103" s="120"/>
      <c r="AN103" s="120"/>
      <c r="AO103" s="120"/>
      <c r="AP103" s="120"/>
      <c r="AQ103" s="120"/>
      <c r="AR103" s="120"/>
      <c r="AS103" s="120"/>
      <c r="AT103" s="120"/>
      <c r="AU103" s="120"/>
      <c r="AV103" s="120"/>
      <c r="AW103" s="120"/>
      <c r="AX103" s="120"/>
      <c r="AY103" s="120"/>
      <c r="AZ103" s="120"/>
      <c r="BA103" s="120"/>
      <c r="BB103" s="120"/>
      <c r="BC103" s="120"/>
      <c r="BD103" s="120"/>
      <c r="BE103" s="120"/>
      <c r="BF103" s="120"/>
      <c r="BG103" s="120"/>
      <c r="BH103" s="120"/>
      <c r="BI103" s="120"/>
      <c r="BJ103" s="120"/>
      <c r="BK103" s="120"/>
      <c r="BL103" s="120"/>
      <c r="BM103" s="120"/>
      <c r="BN103" s="120"/>
      <c r="BO103" s="120"/>
      <c r="BP103" s="120"/>
      <c r="BQ103" s="120"/>
      <c r="BR103" s="120"/>
      <c r="BS103" s="120"/>
      <c r="BT103" s="120"/>
      <c r="BU103" s="120"/>
      <c r="BV103" s="120"/>
      <c r="BW103" s="120"/>
      <c r="BX103" s="120"/>
      <c r="BY103" s="120"/>
      <c r="BZ103" s="120"/>
      <c r="CA103" s="120"/>
      <c r="CB103" s="120"/>
      <c r="CC103" s="120"/>
      <c r="CD103" s="120"/>
      <c r="CE103" s="120"/>
      <c r="CF103" s="120"/>
    </row>
    <row r="104" spans="2:84" x14ac:dyDescent="0.2">
      <c r="B104" s="120"/>
      <c r="C104" s="120"/>
      <c r="D104" s="120"/>
      <c r="E104" s="120"/>
      <c r="F104" s="120"/>
      <c r="G104" s="120"/>
      <c r="M104" s="120"/>
      <c r="N104" s="120"/>
      <c r="O104" s="120"/>
      <c r="P104" s="120"/>
      <c r="Q104" s="120"/>
      <c r="R104" s="120"/>
      <c r="S104" s="120"/>
      <c r="T104" s="120"/>
      <c r="U104" s="120"/>
      <c r="V104" s="120"/>
      <c r="W104" s="120"/>
      <c r="X104" s="120"/>
      <c r="Y104" s="120"/>
      <c r="Z104" s="120"/>
      <c r="AA104" s="120"/>
      <c r="AB104" s="120"/>
      <c r="AC104" s="120"/>
      <c r="AD104" s="120"/>
      <c r="AE104" s="120"/>
      <c r="AF104" s="120"/>
      <c r="AG104" s="120"/>
      <c r="AH104" s="120"/>
      <c r="AI104" s="120"/>
      <c r="AJ104" s="120"/>
      <c r="AK104" s="120"/>
      <c r="AL104" s="120"/>
      <c r="AM104" s="120"/>
      <c r="AN104" s="120"/>
      <c r="AO104" s="120"/>
      <c r="AP104" s="120"/>
      <c r="AQ104" s="120"/>
      <c r="AR104" s="120"/>
      <c r="AS104" s="120"/>
      <c r="AT104" s="120"/>
      <c r="AU104" s="120"/>
      <c r="AV104" s="120"/>
      <c r="AW104" s="120"/>
      <c r="AX104" s="120"/>
      <c r="AY104" s="120"/>
      <c r="AZ104" s="120"/>
      <c r="BA104" s="120"/>
      <c r="BB104" s="120"/>
      <c r="BC104" s="120"/>
      <c r="BD104" s="120"/>
      <c r="BE104" s="120"/>
      <c r="BF104" s="120"/>
      <c r="BG104" s="120"/>
      <c r="BH104" s="120"/>
      <c r="BI104" s="120"/>
      <c r="BJ104" s="120"/>
      <c r="BK104" s="120"/>
      <c r="BL104" s="120"/>
      <c r="BM104" s="120"/>
      <c r="BN104" s="120"/>
      <c r="BO104" s="120"/>
      <c r="BP104" s="120"/>
      <c r="BQ104" s="120"/>
      <c r="BR104" s="120"/>
      <c r="BS104" s="120"/>
      <c r="BT104" s="120"/>
      <c r="BU104" s="120"/>
      <c r="BV104" s="120"/>
      <c r="BW104" s="120"/>
      <c r="BX104" s="120"/>
      <c r="BY104" s="120"/>
      <c r="BZ104" s="120"/>
      <c r="CA104" s="120"/>
      <c r="CB104" s="120"/>
      <c r="CC104" s="120"/>
      <c r="CD104" s="120"/>
      <c r="CE104" s="120"/>
      <c r="CF104" s="120"/>
    </row>
    <row r="105" spans="2:84" x14ac:dyDescent="0.2">
      <c r="B105" s="120"/>
      <c r="C105" s="120"/>
      <c r="D105" s="120"/>
      <c r="E105" s="120"/>
      <c r="F105" s="120"/>
      <c r="G105" s="120"/>
      <c r="M105" s="120"/>
      <c r="N105" s="120"/>
      <c r="O105" s="120"/>
      <c r="P105" s="120"/>
      <c r="Q105" s="120"/>
      <c r="R105" s="120"/>
      <c r="S105" s="120"/>
      <c r="T105" s="120"/>
      <c r="U105" s="120"/>
      <c r="V105" s="120"/>
      <c r="W105" s="120"/>
      <c r="X105" s="120"/>
      <c r="Y105" s="120"/>
      <c r="Z105" s="120"/>
      <c r="AA105" s="120"/>
      <c r="AB105" s="120"/>
      <c r="AC105" s="120"/>
      <c r="AD105" s="120"/>
      <c r="AE105" s="120"/>
      <c r="AF105" s="120"/>
      <c r="AG105" s="120"/>
      <c r="AH105" s="120"/>
      <c r="AI105" s="120"/>
      <c r="AJ105" s="120"/>
      <c r="AK105" s="120"/>
      <c r="AL105" s="120"/>
      <c r="AM105" s="120"/>
      <c r="AN105" s="120"/>
      <c r="AO105" s="120"/>
      <c r="AP105" s="120"/>
      <c r="AQ105" s="120"/>
      <c r="AR105" s="120"/>
      <c r="AS105" s="120"/>
      <c r="AT105" s="120"/>
      <c r="AU105" s="120"/>
      <c r="AV105" s="120"/>
      <c r="AW105" s="120"/>
      <c r="AX105" s="120"/>
      <c r="AY105" s="120"/>
      <c r="AZ105" s="120"/>
      <c r="BA105" s="120"/>
      <c r="BB105" s="120"/>
      <c r="BC105" s="120"/>
      <c r="BD105" s="120"/>
      <c r="BE105" s="120"/>
      <c r="BF105" s="120"/>
      <c r="BG105" s="120"/>
      <c r="BH105" s="120"/>
      <c r="BI105" s="120"/>
      <c r="BJ105" s="120"/>
      <c r="BK105" s="120"/>
      <c r="BL105" s="120"/>
      <c r="BM105" s="120"/>
      <c r="BN105" s="120"/>
      <c r="BO105" s="120"/>
      <c r="BP105" s="120"/>
      <c r="BQ105" s="120"/>
      <c r="BR105" s="120"/>
      <c r="BS105" s="120"/>
      <c r="BT105" s="120"/>
      <c r="BU105" s="120"/>
      <c r="BV105" s="120"/>
      <c r="BW105" s="120"/>
      <c r="BX105" s="120"/>
      <c r="BY105" s="120"/>
      <c r="BZ105" s="120"/>
      <c r="CA105" s="120"/>
      <c r="CB105" s="120"/>
      <c r="CC105" s="120"/>
      <c r="CD105" s="120"/>
      <c r="CE105" s="120"/>
      <c r="CF105" s="120"/>
    </row>
    <row r="106" spans="2:84" x14ac:dyDescent="0.2">
      <c r="B106" s="120"/>
      <c r="C106" s="120"/>
      <c r="D106" s="120"/>
      <c r="E106" s="120"/>
      <c r="F106" s="120"/>
      <c r="G106" s="120"/>
      <c r="M106" s="120"/>
      <c r="N106" s="120"/>
      <c r="O106" s="120"/>
      <c r="P106" s="120"/>
      <c r="Q106" s="120"/>
      <c r="R106" s="120"/>
      <c r="S106" s="120"/>
      <c r="T106" s="120"/>
      <c r="U106" s="120"/>
      <c r="V106" s="120"/>
      <c r="W106" s="120"/>
      <c r="X106" s="120"/>
      <c r="Y106" s="120"/>
      <c r="Z106" s="120"/>
      <c r="AA106" s="120"/>
      <c r="AB106" s="120"/>
      <c r="AC106" s="120"/>
      <c r="AD106" s="120"/>
      <c r="AE106" s="120"/>
      <c r="AF106" s="120"/>
      <c r="AG106" s="120"/>
      <c r="AH106" s="120"/>
      <c r="AI106" s="120"/>
      <c r="AJ106" s="120"/>
      <c r="AK106" s="120"/>
      <c r="AL106" s="120"/>
      <c r="AM106" s="120"/>
      <c r="AN106" s="120"/>
      <c r="AO106" s="120"/>
      <c r="AP106" s="120"/>
      <c r="AQ106" s="120"/>
      <c r="AR106" s="120"/>
      <c r="AS106" s="120"/>
      <c r="AT106" s="120"/>
      <c r="AU106" s="120"/>
      <c r="AV106" s="120"/>
      <c r="AW106" s="120"/>
      <c r="AX106" s="120"/>
      <c r="AY106" s="120"/>
      <c r="AZ106" s="120"/>
      <c r="BA106" s="120"/>
      <c r="BB106" s="120"/>
      <c r="BC106" s="120"/>
      <c r="BD106" s="120"/>
      <c r="BE106" s="120"/>
      <c r="BF106" s="120"/>
      <c r="BG106" s="120"/>
      <c r="BH106" s="120"/>
      <c r="BI106" s="120"/>
      <c r="BJ106" s="120"/>
      <c r="BK106" s="120"/>
      <c r="BL106" s="120"/>
      <c r="BM106" s="120"/>
      <c r="BN106" s="120"/>
      <c r="BO106" s="120"/>
      <c r="BP106" s="120"/>
      <c r="BQ106" s="120"/>
      <c r="BR106" s="120"/>
      <c r="BS106" s="120"/>
      <c r="BT106" s="120"/>
      <c r="BU106" s="120"/>
      <c r="BV106" s="120"/>
      <c r="BW106" s="120"/>
      <c r="BX106" s="120"/>
      <c r="BY106" s="120"/>
      <c r="BZ106" s="120"/>
      <c r="CA106" s="120"/>
      <c r="CB106" s="120"/>
      <c r="CC106" s="120"/>
      <c r="CD106" s="120"/>
      <c r="CE106" s="120"/>
      <c r="CF106" s="120"/>
    </row>
    <row r="107" spans="2:84" x14ac:dyDescent="0.2">
      <c r="B107" s="120"/>
      <c r="C107" s="120"/>
      <c r="D107" s="120"/>
      <c r="E107" s="120"/>
      <c r="F107" s="120"/>
      <c r="G107" s="120"/>
      <c r="M107" s="120"/>
      <c r="N107" s="120"/>
      <c r="O107" s="120"/>
      <c r="P107" s="120"/>
      <c r="Q107" s="120"/>
      <c r="R107" s="120"/>
      <c r="S107" s="120"/>
      <c r="T107" s="120"/>
      <c r="U107" s="120"/>
      <c r="V107" s="120"/>
      <c r="W107" s="120"/>
      <c r="X107" s="120"/>
      <c r="Y107" s="120"/>
      <c r="Z107" s="120"/>
      <c r="AA107" s="120"/>
      <c r="AB107" s="120"/>
      <c r="AC107" s="120"/>
      <c r="AD107" s="120"/>
      <c r="AE107" s="120"/>
      <c r="AF107" s="120"/>
      <c r="AG107" s="120"/>
      <c r="AH107" s="120"/>
      <c r="AI107" s="120"/>
      <c r="AJ107" s="120"/>
      <c r="AK107" s="120"/>
      <c r="AL107" s="120"/>
      <c r="AM107" s="120"/>
      <c r="AN107" s="120"/>
      <c r="AO107" s="120"/>
      <c r="AP107" s="120"/>
      <c r="AQ107" s="120"/>
      <c r="AR107" s="120"/>
      <c r="AS107" s="120"/>
      <c r="AT107" s="120"/>
      <c r="AU107" s="120"/>
      <c r="AV107" s="120"/>
      <c r="AW107" s="120"/>
      <c r="AX107" s="120"/>
      <c r="AY107" s="120"/>
      <c r="AZ107" s="120"/>
      <c r="BA107" s="120"/>
      <c r="BB107" s="120"/>
      <c r="BC107" s="120"/>
      <c r="BD107" s="120"/>
      <c r="BE107" s="120"/>
      <c r="BF107" s="120"/>
      <c r="BG107" s="120"/>
      <c r="BH107" s="120"/>
      <c r="BI107" s="120"/>
      <c r="BJ107" s="120"/>
      <c r="BK107" s="120"/>
      <c r="BL107" s="120"/>
      <c r="BM107" s="120"/>
      <c r="BN107" s="120"/>
      <c r="BO107" s="120"/>
      <c r="BP107" s="120"/>
      <c r="BQ107" s="120"/>
      <c r="BR107" s="120"/>
      <c r="BS107" s="120"/>
      <c r="BT107" s="120"/>
      <c r="BU107" s="120"/>
      <c r="BV107" s="120"/>
      <c r="BW107" s="120"/>
      <c r="BX107" s="120"/>
      <c r="BY107" s="120"/>
      <c r="BZ107" s="120"/>
      <c r="CA107" s="120"/>
      <c r="CB107" s="120"/>
      <c r="CC107" s="120"/>
      <c r="CD107" s="120"/>
      <c r="CE107" s="120"/>
      <c r="CF107" s="120"/>
    </row>
    <row r="108" spans="2:84" x14ac:dyDescent="0.2">
      <c r="B108" s="120"/>
      <c r="C108" s="120"/>
      <c r="D108" s="120"/>
      <c r="E108" s="120"/>
      <c r="F108" s="120"/>
      <c r="G108" s="120"/>
      <c r="M108" s="120"/>
      <c r="N108" s="120"/>
      <c r="O108" s="120"/>
      <c r="P108" s="120"/>
      <c r="Q108" s="120"/>
      <c r="R108" s="120"/>
      <c r="S108" s="120"/>
      <c r="T108" s="120"/>
      <c r="U108" s="120"/>
      <c r="V108" s="120"/>
      <c r="W108" s="120"/>
      <c r="X108" s="120"/>
      <c r="Y108" s="120"/>
      <c r="Z108" s="120"/>
      <c r="AA108" s="120"/>
      <c r="AB108" s="120"/>
      <c r="AC108" s="120"/>
      <c r="AD108" s="120"/>
      <c r="AE108" s="120"/>
      <c r="AF108" s="120"/>
      <c r="AG108" s="120"/>
      <c r="AH108" s="120"/>
      <c r="AI108" s="120"/>
      <c r="AJ108" s="120"/>
      <c r="AK108" s="120"/>
      <c r="AL108" s="120"/>
      <c r="AM108" s="120"/>
      <c r="AN108" s="120"/>
      <c r="AO108" s="120"/>
      <c r="AP108" s="120"/>
      <c r="AQ108" s="120"/>
      <c r="AR108" s="120"/>
      <c r="AS108" s="120"/>
      <c r="AT108" s="120"/>
      <c r="AU108" s="120"/>
      <c r="AV108" s="120"/>
      <c r="AW108" s="120"/>
      <c r="AX108" s="120"/>
      <c r="AY108" s="120"/>
      <c r="AZ108" s="120"/>
      <c r="BA108" s="120"/>
      <c r="BB108" s="120"/>
      <c r="BC108" s="120"/>
      <c r="BD108" s="120"/>
      <c r="BE108" s="120"/>
      <c r="BF108" s="120"/>
      <c r="BG108" s="120"/>
      <c r="BH108" s="120"/>
      <c r="BI108" s="120"/>
      <c r="BJ108" s="120"/>
      <c r="BK108" s="120"/>
      <c r="BL108" s="120"/>
      <c r="BM108" s="120"/>
      <c r="BN108" s="120"/>
      <c r="BO108" s="120"/>
      <c r="BP108" s="120"/>
      <c r="BQ108" s="120"/>
      <c r="BR108" s="120"/>
      <c r="BS108" s="120"/>
      <c r="BT108" s="120"/>
      <c r="BU108" s="120"/>
      <c r="BV108" s="120"/>
      <c r="BW108" s="120"/>
      <c r="BX108" s="120"/>
      <c r="BY108" s="120"/>
      <c r="BZ108" s="120"/>
      <c r="CA108" s="120"/>
      <c r="CB108" s="120"/>
      <c r="CC108" s="120"/>
      <c r="CD108" s="120"/>
      <c r="CE108" s="120"/>
      <c r="CF108" s="120"/>
    </row>
    <row r="109" spans="2:84" x14ac:dyDescent="0.2">
      <c r="B109" s="120"/>
      <c r="C109" s="120"/>
      <c r="D109" s="120"/>
      <c r="E109" s="120"/>
      <c r="F109" s="120"/>
      <c r="G109" s="120"/>
      <c r="M109" s="120"/>
      <c r="N109" s="120"/>
      <c r="O109" s="120"/>
      <c r="P109" s="120"/>
      <c r="Q109" s="120"/>
      <c r="R109" s="120"/>
      <c r="S109" s="120"/>
      <c r="T109" s="120"/>
      <c r="U109" s="120"/>
      <c r="V109" s="120"/>
      <c r="W109" s="120"/>
      <c r="X109" s="120"/>
      <c r="Y109" s="120"/>
      <c r="Z109" s="120"/>
      <c r="AA109" s="120"/>
      <c r="AB109" s="120"/>
      <c r="AC109" s="120"/>
      <c r="AD109" s="120"/>
      <c r="AE109" s="120"/>
      <c r="AF109" s="120"/>
      <c r="AG109" s="120"/>
      <c r="AH109" s="120"/>
      <c r="AI109" s="120"/>
      <c r="AJ109" s="120"/>
      <c r="AK109" s="120"/>
      <c r="AL109" s="120"/>
      <c r="AM109" s="120"/>
      <c r="AN109" s="120"/>
      <c r="AO109" s="120"/>
      <c r="AP109" s="120"/>
      <c r="AQ109" s="120"/>
      <c r="AR109" s="120"/>
      <c r="AS109" s="120"/>
      <c r="AT109" s="120"/>
      <c r="AU109" s="120"/>
      <c r="AV109" s="120"/>
      <c r="AW109" s="120"/>
      <c r="AX109" s="120"/>
      <c r="AY109" s="120"/>
      <c r="AZ109" s="120"/>
      <c r="BA109" s="120"/>
      <c r="BB109" s="120"/>
      <c r="BC109" s="120"/>
      <c r="BD109" s="120"/>
      <c r="BE109" s="120"/>
      <c r="BF109" s="120"/>
      <c r="BG109" s="120"/>
      <c r="BH109" s="120"/>
      <c r="BI109" s="120"/>
      <c r="BJ109" s="120"/>
      <c r="BK109" s="120"/>
      <c r="BL109" s="120"/>
      <c r="BM109" s="120"/>
      <c r="BN109" s="120"/>
      <c r="BO109" s="120"/>
      <c r="BP109" s="120"/>
      <c r="BQ109" s="120"/>
      <c r="BR109" s="120"/>
      <c r="BS109" s="120"/>
      <c r="BT109" s="120"/>
      <c r="BU109" s="120"/>
      <c r="BV109" s="120"/>
      <c r="BW109" s="120"/>
      <c r="BX109" s="120"/>
      <c r="BY109" s="120"/>
      <c r="BZ109" s="120"/>
      <c r="CA109" s="120"/>
      <c r="CB109" s="120"/>
      <c r="CC109" s="120"/>
      <c r="CD109" s="120"/>
      <c r="CE109" s="120"/>
      <c r="CF109" s="120"/>
    </row>
    <row r="110" spans="2:84" x14ac:dyDescent="0.2">
      <c r="B110" s="120"/>
      <c r="C110" s="120"/>
      <c r="D110" s="120"/>
      <c r="E110" s="120"/>
      <c r="F110" s="120"/>
      <c r="G110" s="120"/>
      <c r="M110" s="120"/>
      <c r="N110" s="120"/>
      <c r="O110" s="120"/>
      <c r="P110" s="120"/>
      <c r="Q110" s="120"/>
      <c r="R110" s="120"/>
      <c r="S110" s="120"/>
      <c r="T110" s="120"/>
      <c r="U110" s="120"/>
      <c r="V110" s="120"/>
      <c r="W110" s="120"/>
      <c r="X110" s="120"/>
      <c r="Y110" s="120"/>
      <c r="Z110" s="120"/>
      <c r="AA110" s="120"/>
      <c r="AB110" s="120"/>
      <c r="AC110" s="120"/>
      <c r="AD110" s="120"/>
      <c r="AE110" s="120"/>
      <c r="AF110" s="120"/>
      <c r="AG110" s="120"/>
      <c r="AH110" s="120"/>
      <c r="AI110" s="120"/>
      <c r="AJ110" s="120"/>
      <c r="AK110" s="120"/>
      <c r="AL110" s="120"/>
      <c r="AM110" s="120"/>
      <c r="AN110" s="120"/>
      <c r="AO110" s="120"/>
      <c r="AP110" s="120"/>
      <c r="AQ110" s="120"/>
      <c r="AR110" s="120"/>
      <c r="AS110" s="120"/>
      <c r="AT110" s="120"/>
      <c r="AU110" s="120"/>
      <c r="AV110" s="120"/>
      <c r="AW110" s="120"/>
      <c r="AX110" s="120"/>
      <c r="AY110" s="120"/>
      <c r="AZ110" s="120"/>
      <c r="BA110" s="120"/>
      <c r="BB110" s="120"/>
      <c r="BC110" s="120"/>
      <c r="BD110" s="120"/>
      <c r="BE110" s="120"/>
      <c r="BF110" s="120"/>
      <c r="BG110" s="120"/>
      <c r="BH110" s="120"/>
      <c r="BI110" s="120"/>
      <c r="BJ110" s="120"/>
      <c r="BK110" s="120"/>
      <c r="BL110" s="120"/>
      <c r="BM110" s="120"/>
      <c r="BN110" s="120"/>
      <c r="BO110" s="120"/>
      <c r="BP110" s="120"/>
      <c r="BQ110" s="120"/>
      <c r="BR110" s="120"/>
      <c r="BS110" s="120"/>
      <c r="BT110" s="120"/>
      <c r="BU110" s="120"/>
      <c r="BV110" s="120"/>
      <c r="BW110" s="120"/>
      <c r="BX110" s="120"/>
      <c r="BY110" s="120"/>
      <c r="BZ110" s="120"/>
      <c r="CA110" s="120"/>
      <c r="CB110" s="120"/>
      <c r="CC110" s="120"/>
      <c r="CD110" s="120"/>
      <c r="CE110" s="120"/>
      <c r="CF110" s="120"/>
    </row>
    <row r="111" spans="2:84" x14ac:dyDescent="0.2">
      <c r="B111" s="120"/>
      <c r="C111" s="120"/>
      <c r="D111" s="120"/>
      <c r="E111" s="120"/>
      <c r="F111" s="120"/>
      <c r="G111" s="120"/>
      <c r="M111" s="120"/>
      <c r="N111" s="120"/>
      <c r="O111" s="120"/>
      <c r="P111" s="120"/>
      <c r="Q111" s="120"/>
      <c r="R111" s="120"/>
      <c r="S111" s="120"/>
      <c r="T111" s="120"/>
      <c r="U111" s="120"/>
      <c r="V111" s="120"/>
      <c r="W111" s="120"/>
      <c r="X111" s="120"/>
      <c r="Y111" s="120"/>
      <c r="Z111" s="120"/>
      <c r="AA111" s="120"/>
      <c r="AB111" s="120"/>
      <c r="AC111" s="120"/>
      <c r="AD111" s="120"/>
      <c r="AE111" s="120"/>
      <c r="AF111" s="120"/>
      <c r="AG111" s="120"/>
      <c r="AH111" s="120"/>
      <c r="AI111" s="120"/>
      <c r="AJ111" s="120"/>
      <c r="AK111" s="120"/>
      <c r="AL111" s="120"/>
      <c r="AM111" s="120"/>
      <c r="AN111" s="120"/>
      <c r="AO111" s="120"/>
      <c r="AP111" s="120"/>
      <c r="AQ111" s="120"/>
      <c r="AR111" s="120"/>
      <c r="AS111" s="120"/>
      <c r="AT111" s="120"/>
      <c r="AU111" s="120"/>
      <c r="AV111" s="120"/>
      <c r="AW111" s="120"/>
      <c r="AX111" s="120"/>
      <c r="AY111" s="120"/>
      <c r="AZ111" s="120"/>
      <c r="BA111" s="120"/>
      <c r="BB111" s="120"/>
      <c r="BC111" s="120"/>
      <c r="BD111" s="120"/>
      <c r="BE111" s="120"/>
      <c r="BF111" s="120"/>
      <c r="BG111" s="120"/>
      <c r="BH111" s="120"/>
      <c r="BI111" s="120"/>
      <c r="BJ111" s="120"/>
      <c r="BK111" s="120"/>
      <c r="BL111" s="120"/>
      <c r="BM111" s="120"/>
      <c r="BN111" s="120"/>
      <c r="BO111" s="120"/>
      <c r="BP111" s="120"/>
      <c r="BQ111" s="120"/>
      <c r="BR111" s="120"/>
      <c r="BS111" s="120"/>
      <c r="BT111" s="120"/>
      <c r="BU111" s="120"/>
      <c r="BV111" s="120"/>
      <c r="BW111" s="120"/>
      <c r="BX111" s="120"/>
      <c r="BY111" s="120"/>
      <c r="BZ111" s="120"/>
      <c r="CA111" s="120"/>
      <c r="CB111" s="120"/>
      <c r="CC111" s="120"/>
      <c r="CD111" s="120"/>
      <c r="CE111" s="120"/>
      <c r="CF111" s="120"/>
    </row>
    <row r="112" spans="2:84" x14ac:dyDescent="0.2">
      <c r="B112" s="120"/>
      <c r="C112" s="120"/>
      <c r="D112" s="120"/>
      <c r="E112" s="120"/>
      <c r="F112" s="120"/>
      <c r="G112" s="120"/>
      <c r="M112" s="120"/>
      <c r="N112" s="120"/>
      <c r="O112" s="120"/>
      <c r="P112" s="120"/>
      <c r="Q112" s="120"/>
      <c r="R112" s="120"/>
      <c r="S112" s="120"/>
      <c r="T112" s="120"/>
      <c r="U112" s="120"/>
      <c r="V112" s="120"/>
      <c r="W112" s="120"/>
      <c r="X112" s="120"/>
      <c r="Y112" s="120"/>
      <c r="Z112" s="120"/>
      <c r="AA112" s="120"/>
      <c r="AB112" s="120"/>
      <c r="AC112" s="120"/>
      <c r="AD112" s="120"/>
      <c r="AE112" s="120"/>
      <c r="AF112" s="120"/>
      <c r="AG112" s="120"/>
      <c r="AH112" s="120"/>
      <c r="AI112" s="120"/>
      <c r="AJ112" s="120"/>
      <c r="AK112" s="120"/>
      <c r="AL112" s="120"/>
      <c r="AM112" s="120"/>
      <c r="AN112" s="120"/>
      <c r="AO112" s="120"/>
      <c r="AP112" s="120"/>
      <c r="AQ112" s="120"/>
      <c r="AR112" s="120"/>
      <c r="AS112" s="120"/>
      <c r="AT112" s="120"/>
      <c r="AU112" s="120"/>
      <c r="AV112" s="120"/>
      <c r="AW112" s="120"/>
      <c r="AX112" s="120"/>
      <c r="AY112" s="120"/>
      <c r="AZ112" s="120"/>
      <c r="BA112" s="120"/>
      <c r="BB112" s="120"/>
      <c r="BC112" s="120"/>
      <c r="BD112" s="120"/>
      <c r="BE112" s="120"/>
      <c r="BF112" s="120"/>
      <c r="BG112" s="120"/>
      <c r="BH112" s="120"/>
      <c r="BI112" s="120"/>
      <c r="BJ112" s="120"/>
      <c r="BK112" s="120"/>
      <c r="BL112" s="120"/>
      <c r="BM112" s="120"/>
      <c r="BN112" s="120"/>
      <c r="BO112" s="120"/>
      <c r="BP112" s="120"/>
      <c r="BQ112" s="120"/>
      <c r="BR112" s="120"/>
      <c r="BS112" s="120"/>
      <c r="BT112" s="120"/>
      <c r="BU112" s="120"/>
      <c r="BV112" s="120"/>
      <c r="BW112" s="120"/>
      <c r="BX112" s="120"/>
      <c r="BY112" s="120"/>
      <c r="BZ112" s="120"/>
      <c r="CA112" s="120"/>
      <c r="CB112" s="120"/>
      <c r="CC112" s="120"/>
      <c r="CD112" s="120"/>
      <c r="CE112" s="120"/>
      <c r="CF112" s="120"/>
    </row>
    <row r="113" spans="2:84" x14ac:dyDescent="0.2">
      <c r="B113" s="120"/>
      <c r="C113" s="120"/>
      <c r="D113" s="120"/>
      <c r="E113" s="120"/>
      <c r="F113" s="120"/>
      <c r="G113" s="120"/>
      <c r="M113" s="120"/>
      <c r="N113" s="120"/>
      <c r="O113" s="120"/>
      <c r="P113" s="120"/>
      <c r="Q113" s="120"/>
      <c r="R113" s="120"/>
      <c r="S113" s="120"/>
      <c r="T113" s="120"/>
      <c r="U113" s="120"/>
      <c r="V113" s="120"/>
      <c r="W113" s="120"/>
      <c r="X113" s="120"/>
      <c r="Y113" s="120"/>
      <c r="Z113" s="120"/>
      <c r="AA113" s="120"/>
      <c r="AB113" s="120"/>
      <c r="AC113" s="120"/>
      <c r="AD113" s="120"/>
      <c r="AE113" s="120"/>
      <c r="AF113" s="120"/>
      <c r="AG113" s="120"/>
      <c r="AH113" s="120"/>
      <c r="AI113" s="120"/>
      <c r="AJ113" s="120"/>
      <c r="AK113" s="120"/>
      <c r="AL113" s="120"/>
      <c r="AM113" s="120"/>
      <c r="AN113" s="120"/>
      <c r="AO113" s="120"/>
      <c r="AP113" s="120"/>
      <c r="AQ113" s="120"/>
      <c r="AR113" s="120"/>
      <c r="AS113" s="120"/>
      <c r="AT113" s="120"/>
      <c r="AU113" s="120"/>
      <c r="AV113" s="120"/>
      <c r="AW113" s="120"/>
      <c r="AX113" s="120"/>
      <c r="AY113" s="120"/>
      <c r="AZ113" s="120"/>
      <c r="BA113" s="120"/>
      <c r="BB113" s="120"/>
      <c r="BC113" s="120"/>
      <c r="BD113" s="120"/>
      <c r="BE113" s="120"/>
      <c r="BF113" s="120"/>
      <c r="BG113" s="120"/>
      <c r="BH113" s="120"/>
      <c r="BI113" s="120"/>
      <c r="BJ113" s="120"/>
      <c r="BK113" s="120"/>
      <c r="BL113" s="120"/>
      <c r="BM113" s="120"/>
      <c r="BN113" s="120"/>
      <c r="BO113" s="120"/>
      <c r="BP113" s="120"/>
      <c r="BQ113" s="120"/>
      <c r="BR113" s="120"/>
      <c r="BS113" s="120"/>
      <c r="BT113" s="120"/>
      <c r="BU113" s="120"/>
      <c r="BV113" s="120"/>
      <c r="BW113" s="120"/>
      <c r="BX113" s="120"/>
      <c r="BY113" s="120"/>
      <c r="BZ113" s="120"/>
      <c r="CA113" s="120"/>
      <c r="CB113" s="120"/>
      <c r="CC113" s="120"/>
      <c r="CD113" s="120"/>
      <c r="CE113" s="120"/>
      <c r="CF113" s="120"/>
    </row>
    <row r="114" spans="2:84" x14ac:dyDescent="0.2">
      <c r="B114" s="120"/>
      <c r="C114" s="120"/>
      <c r="D114" s="120"/>
      <c r="E114" s="120"/>
      <c r="F114" s="120"/>
      <c r="G114" s="120"/>
      <c r="M114" s="120"/>
      <c r="N114" s="120"/>
      <c r="O114" s="120"/>
      <c r="P114" s="120"/>
      <c r="Q114" s="120"/>
      <c r="R114" s="120"/>
      <c r="S114" s="120"/>
      <c r="T114" s="120"/>
      <c r="U114" s="120"/>
      <c r="V114" s="120"/>
      <c r="W114" s="120"/>
      <c r="X114" s="120"/>
      <c r="Y114" s="120"/>
      <c r="Z114" s="120"/>
      <c r="AA114" s="120"/>
      <c r="AB114" s="120"/>
      <c r="AC114" s="120"/>
      <c r="AD114" s="120"/>
      <c r="AE114" s="120"/>
      <c r="AF114" s="120"/>
      <c r="AG114" s="120"/>
      <c r="AH114" s="120"/>
      <c r="AI114" s="120"/>
      <c r="AJ114" s="120"/>
      <c r="AK114" s="120"/>
      <c r="AL114" s="120"/>
      <c r="AM114" s="120"/>
      <c r="AN114" s="120"/>
      <c r="AO114" s="120"/>
      <c r="AP114" s="120"/>
      <c r="AQ114" s="120"/>
      <c r="AR114" s="120"/>
      <c r="AS114" s="120"/>
      <c r="AT114" s="120"/>
      <c r="AU114" s="120"/>
      <c r="AV114" s="120"/>
      <c r="AW114" s="120"/>
      <c r="AX114" s="120"/>
      <c r="AY114" s="120"/>
      <c r="AZ114" s="120"/>
      <c r="BA114" s="120"/>
      <c r="BB114" s="120"/>
      <c r="BC114" s="120"/>
      <c r="BD114" s="120"/>
      <c r="BE114" s="120"/>
      <c r="BF114" s="120"/>
      <c r="BG114" s="120"/>
      <c r="BH114" s="120"/>
      <c r="BI114" s="120"/>
      <c r="BJ114" s="120"/>
      <c r="BK114" s="120"/>
      <c r="BL114" s="120"/>
      <c r="BM114" s="120"/>
      <c r="BN114" s="120"/>
      <c r="BO114" s="120"/>
      <c r="BP114" s="120"/>
      <c r="BQ114" s="120"/>
      <c r="BR114" s="120"/>
      <c r="BS114" s="120"/>
      <c r="BT114" s="120"/>
      <c r="BU114" s="120"/>
      <c r="BV114" s="120"/>
      <c r="BW114" s="120"/>
      <c r="BX114" s="120"/>
      <c r="BY114" s="120"/>
      <c r="BZ114" s="120"/>
      <c r="CA114" s="120"/>
      <c r="CB114" s="120"/>
      <c r="CC114" s="120"/>
      <c r="CD114" s="120"/>
      <c r="CE114" s="120"/>
      <c r="CF114" s="120"/>
    </row>
    <row r="115" spans="2:84" x14ac:dyDescent="0.2">
      <c r="B115" s="120"/>
      <c r="C115" s="120"/>
      <c r="D115" s="120"/>
      <c r="E115" s="120"/>
      <c r="F115" s="120"/>
      <c r="G115" s="120"/>
      <c r="M115" s="120"/>
      <c r="N115" s="120"/>
      <c r="O115" s="120"/>
      <c r="P115" s="120"/>
      <c r="Q115" s="120"/>
      <c r="R115" s="120"/>
      <c r="S115" s="120"/>
      <c r="T115" s="120"/>
      <c r="U115" s="120"/>
      <c r="V115" s="120"/>
      <c r="W115" s="120"/>
      <c r="X115" s="120"/>
      <c r="Y115" s="120"/>
      <c r="Z115" s="120"/>
      <c r="AA115" s="120"/>
      <c r="AB115" s="120"/>
      <c r="AC115" s="120"/>
      <c r="AD115" s="120"/>
      <c r="AE115" s="120"/>
      <c r="AF115" s="120"/>
      <c r="AG115" s="120"/>
      <c r="AH115" s="120"/>
      <c r="AI115" s="120"/>
      <c r="AJ115" s="120"/>
      <c r="AK115" s="120"/>
      <c r="AL115" s="120"/>
      <c r="AM115" s="120"/>
      <c r="AN115" s="120"/>
      <c r="AO115" s="120"/>
      <c r="AP115" s="120"/>
      <c r="AQ115" s="120"/>
      <c r="AR115" s="120"/>
      <c r="AS115" s="120"/>
      <c r="AT115" s="120"/>
      <c r="AU115" s="120"/>
      <c r="AV115" s="120"/>
      <c r="AW115" s="120"/>
      <c r="AX115" s="120"/>
      <c r="AY115" s="120"/>
      <c r="AZ115" s="120"/>
      <c r="BA115" s="120"/>
      <c r="BB115" s="120"/>
      <c r="BC115" s="120"/>
      <c r="BD115" s="120"/>
      <c r="BE115" s="120"/>
      <c r="BF115" s="120"/>
      <c r="BG115" s="120"/>
      <c r="BH115" s="120"/>
      <c r="BI115" s="120"/>
      <c r="BJ115" s="120"/>
      <c r="BK115" s="120"/>
      <c r="BL115" s="120"/>
      <c r="BM115" s="120"/>
      <c r="BN115" s="120"/>
      <c r="BO115" s="120"/>
      <c r="BP115" s="120"/>
      <c r="BQ115" s="120"/>
      <c r="BR115" s="120"/>
      <c r="BS115" s="120"/>
      <c r="BT115" s="120"/>
      <c r="BU115" s="120"/>
      <c r="BV115" s="120"/>
      <c r="BW115" s="120"/>
      <c r="BX115" s="120"/>
      <c r="BY115" s="120"/>
      <c r="BZ115" s="120"/>
      <c r="CA115" s="120"/>
      <c r="CB115" s="120"/>
      <c r="CC115" s="120"/>
      <c r="CD115" s="120"/>
      <c r="CE115" s="120"/>
      <c r="CF115" s="120"/>
    </row>
  </sheetData>
  <mergeCells count="2">
    <mergeCell ref="B5:G5"/>
    <mergeCell ref="I5:K5"/>
  </mergeCells>
  <pageMargins left="0.7" right="0.7" top="0.75" bottom="0.75" header="0.3" footer="0.3"/>
  <extLst>
    <ext xmlns:x14="http://schemas.microsoft.com/office/spreadsheetml/2009/9/main" uri="{05C60535-1F16-4fd2-B633-F4F36F0B64E0}">
      <x14:sparklineGroups xmlns:xm="http://schemas.microsoft.com/office/excel/2006/main">
        <x14:sparklineGroup displayEmptyCellsAs="gap" xr2:uid="{9A6909D8-CE04-DE43-A989-47F7D0D30C48}">
          <x14:colorSeries rgb="FF376092"/>
          <x14:colorNegative rgb="FFD00000"/>
          <x14:colorAxis rgb="FF000000"/>
          <x14:colorMarkers rgb="FFD00000"/>
          <x14:colorFirst rgb="FFD00000"/>
          <x14:colorLast rgb="FFD00000"/>
          <x14:colorHigh rgb="FFD00000"/>
          <x14:colorLow rgb="FFD00000"/>
          <x14:sparklines>
            <x14:sparkline>
              <xm:f>'Debt Capacity'!B67:K67</xm:f>
              <xm:sqref>L67</xm:sqref>
            </x14:sparkline>
          </x14:sparklines>
        </x14:sparklineGroup>
        <x14:sparklineGroup displayEmptyCellsAs="gap" xr2:uid="{96A2A633-222E-2D4D-A57F-D7D88BD67C9B}">
          <x14:colorSeries rgb="FF376092"/>
          <x14:colorNegative rgb="FFD00000"/>
          <x14:colorAxis rgb="FF000000"/>
          <x14:colorMarkers rgb="FFD00000"/>
          <x14:colorFirst rgb="FFD00000"/>
          <x14:colorLast rgb="FFD00000"/>
          <x14:colorHigh rgb="FFD00000"/>
          <x14:colorLow rgb="FFD00000"/>
          <x14:sparklines>
            <x14:sparkline>
              <xm:f>'Debt Capacity'!B71:K71</xm:f>
              <xm:sqref>L71</xm:sqref>
            </x14:sparkline>
          </x14:sparklines>
        </x14:sparklineGroup>
        <x14:sparklineGroup displayEmptyCellsAs="gap" xr2:uid="{D0D9CA63-6DA8-6A4C-8EB0-CAF081910161}">
          <x14:colorSeries rgb="FF376092"/>
          <x14:colorNegative rgb="FFD00000"/>
          <x14:colorAxis rgb="FF000000"/>
          <x14:colorMarkers rgb="FFD00000"/>
          <x14:colorFirst rgb="FFD00000"/>
          <x14:colorLast rgb="FFD00000"/>
          <x14:colorHigh rgb="FFD00000"/>
          <x14:colorLow rgb="FFD00000"/>
          <x14:sparklines>
            <x14:sparkline>
              <xm:f>'Debt Capacity'!B16:K16</xm:f>
              <xm:sqref>L16</xm:sqref>
            </x14:sparkline>
          </x14:sparklines>
        </x14:sparklineGroup>
        <x14:sparklineGroup displayEmptyCellsAs="gap" xr2:uid="{B8FF9469-3E09-484A-8062-9B292BFE2FEB}">
          <x14:colorSeries rgb="FF376092"/>
          <x14:colorNegative rgb="FFD00000"/>
          <x14:colorAxis rgb="FF000000"/>
          <x14:colorMarkers rgb="FFD00000"/>
          <x14:colorFirst rgb="FFD00000"/>
          <x14:colorLast rgb="FFD00000"/>
          <x14:colorHigh rgb="FFD00000"/>
          <x14:colorLow rgb="FFD00000"/>
          <x14:sparklines>
            <x14:sparkline>
              <xm:f>'Debt Capacity'!B21:K21</xm:f>
              <xm:sqref>L21</xm:sqref>
            </x14:sparkline>
          </x14:sparklines>
        </x14:sparklineGroup>
        <x14:sparklineGroup displayEmptyCellsAs="gap" xr2:uid="{85212B61-5B66-B04D-8134-9B35061EB464}">
          <x14:colorSeries rgb="FF376092"/>
          <x14:colorNegative rgb="FFD00000"/>
          <x14:colorAxis rgb="FF000000"/>
          <x14:colorMarkers rgb="FFD00000"/>
          <x14:colorFirst rgb="FFD00000"/>
          <x14:colorLast rgb="FFD00000"/>
          <x14:colorHigh rgb="FFD00000"/>
          <x14:colorLow rgb="FFD00000"/>
          <x14:sparklines>
            <x14:sparkline>
              <xm:f>'Debt Capacity'!B31:K31</xm:f>
              <xm:sqref>L31</xm:sqref>
            </x14:sparkline>
          </x14:sparklines>
        </x14:sparklineGroup>
        <x14:sparklineGroup displayEmptyCellsAs="gap" xr2:uid="{C156CAD5-F404-5E4B-80D4-3E817F9C4FCD}">
          <x14:colorSeries rgb="FF376092"/>
          <x14:colorNegative rgb="FFD00000"/>
          <x14:colorAxis rgb="FF000000"/>
          <x14:colorMarkers rgb="FFD00000"/>
          <x14:colorFirst rgb="FFD00000"/>
          <x14:colorLast rgb="FFD00000"/>
          <x14:colorHigh rgb="FFD00000"/>
          <x14:colorLow rgb="FFD00000"/>
          <x14:sparklines>
            <x14:sparkline>
              <xm:f>'Debt Capacity'!B32:K32</xm:f>
              <xm:sqref>L32</xm:sqref>
            </x14:sparkline>
          </x14:sparklines>
        </x14:sparklineGroup>
        <x14:sparklineGroup displayEmptyCellsAs="gap" xr2:uid="{58E84CFB-68DB-0749-B6CA-796F5029EE9B}">
          <x14:colorSeries rgb="FF376092"/>
          <x14:colorNegative rgb="FFD00000"/>
          <x14:colorAxis rgb="FF000000"/>
          <x14:colorMarkers rgb="FFD00000"/>
          <x14:colorFirst rgb="FFD00000"/>
          <x14:colorLast rgb="FFD00000"/>
          <x14:colorHigh rgb="FFD00000"/>
          <x14:colorLow rgb="FFD00000"/>
          <x14:sparklines>
            <x14:sparkline>
              <xm:f>'Debt Capacity'!B64:K64</xm:f>
              <xm:sqref>L64</xm:sqref>
            </x14:sparkline>
          </x14:sparklines>
        </x14:sparklineGroup>
      </x14:sparklineGroup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9253A-A14A-074A-891C-C6EFEF5D647F}">
  <dimension ref="A1:H42"/>
  <sheetViews>
    <sheetView zoomScale="125" zoomScaleNormal="125" workbookViewId="0">
      <selection activeCell="F12" sqref="F12"/>
    </sheetView>
  </sheetViews>
  <sheetFormatPr baseColWidth="10" defaultRowHeight="16" x14ac:dyDescent="0.2"/>
  <cols>
    <col min="2" max="2" width="19.33203125" bestFit="1" customWidth="1"/>
    <col min="3" max="8" width="12.6640625" customWidth="1"/>
  </cols>
  <sheetData>
    <row r="1" spans="1:8" x14ac:dyDescent="0.2">
      <c r="A1" s="228" t="str">
        <f>Input!A1</f>
        <v>Borrower</v>
      </c>
      <c r="B1" s="228" t="str">
        <f>Input!B1</f>
        <v>Tesco PLC (LSE: TSCO)</v>
      </c>
    </row>
    <row r="2" spans="1:8" x14ac:dyDescent="0.2">
      <c r="A2" s="228" t="s">
        <v>842</v>
      </c>
    </row>
    <row r="4" spans="1:8" x14ac:dyDescent="0.2">
      <c r="B4" s="230">
        <f>Input!K8</f>
        <v>2028</v>
      </c>
    </row>
    <row r="5" spans="1:8" x14ac:dyDescent="0.2">
      <c r="A5" t="s">
        <v>843</v>
      </c>
      <c r="B5" s="233">
        <f>Input!K87</f>
        <v>3105.4430054486461</v>
      </c>
    </row>
    <row r="6" spans="1:8" x14ac:dyDescent="0.2">
      <c r="A6" t="s">
        <v>844</v>
      </c>
      <c r="B6">
        <f>Input!$K$95</f>
        <v>5</v>
      </c>
    </row>
    <row r="7" spans="1:8" x14ac:dyDescent="0.2">
      <c r="A7" t="s">
        <v>845</v>
      </c>
      <c r="B7" s="231">
        <f>Input!$K$96</f>
        <v>0.04</v>
      </c>
    </row>
    <row r="9" spans="1:8" ht="17" thickBot="1" x14ac:dyDescent="0.25">
      <c r="A9" s="228" t="s">
        <v>846</v>
      </c>
      <c r="B9" s="228" t="s">
        <v>847</v>
      </c>
      <c r="C9" s="233">
        <f>PV(B7,B6,-B5,0,0)</f>
        <v>13824.880519354379</v>
      </c>
      <c r="D9">
        <f>F9-2</f>
        <v>3</v>
      </c>
      <c r="E9">
        <f>F9-1</f>
        <v>4</v>
      </c>
      <c r="F9" s="237">
        <f>B6</f>
        <v>5</v>
      </c>
      <c r="G9">
        <f>F9+1</f>
        <v>6</v>
      </c>
      <c r="H9">
        <f>F9+2</f>
        <v>7</v>
      </c>
    </row>
    <row r="10" spans="1:8" x14ac:dyDescent="0.2">
      <c r="C10" s="234">
        <f>C12-0.02</f>
        <v>0.02</v>
      </c>
      <c r="D10" s="239">
        <f>PV($C10,D$9,-$B$5)</f>
        <v>8955.7351375743747</v>
      </c>
      <c r="E10" s="240">
        <f t="shared" ref="E10:H10" si="0">PV($C10,E$9,-$B$5)</f>
        <v>11824.684453944143</v>
      </c>
      <c r="F10" s="241">
        <f t="shared" si="0"/>
        <v>14637.379862149799</v>
      </c>
      <c r="G10" s="240">
        <f t="shared" si="0"/>
        <v>17394.92437999848</v>
      </c>
      <c r="H10" s="242">
        <f t="shared" si="0"/>
        <v>20098.399397497153</v>
      </c>
    </row>
    <row r="11" spans="1:8" x14ac:dyDescent="0.2">
      <c r="C11" s="234">
        <f>C12-0.01</f>
        <v>0.03</v>
      </c>
      <c r="D11" s="243">
        <f t="shared" ref="D11:H15" si="1">PV($C11,D$9,-$B$5)</f>
        <v>8784.0913471903059</v>
      </c>
      <c r="E11" s="233">
        <f t="shared" si="1"/>
        <v>11543.237235571791</v>
      </c>
      <c r="F11" s="236">
        <f t="shared" si="1"/>
        <v>14222.019651476146</v>
      </c>
      <c r="G11" s="233">
        <f t="shared" si="1"/>
        <v>16822.779278567767</v>
      </c>
      <c r="H11" s="244">
        <f t="shared" si="1"/>
        <v>19347.788625258658</v>
      </c>
    </row>
    <row r="12" spans="1:8" x14ac:dyDescent="0.2">
      <c r="C12" s="235">
        <f>B7</f>
        <v>0.04</v>
      </c>
      <c r="D12" s="245">
        <f t="shared" si="1"/>
        <v>8617.8870386184462</v>
      </c>
      <c r="E12" s="236">
        <f t="shared" si="1"/>
        <v>11272.432734679902</v>
      </c>
      <c r="F12" s="236">
        <f t="shared" si="1"/>
        <v>13824.880519354379</v>
      </c>
      <c r="G12" s="236">
        <f t="shared" si="1"/>
        <v>16279.157235387525</v>
      </c>
      <c r="H12" s="246">
        <f t="shared" si="1"/>
        <v>18639.038693111699</v>
      </c>
    </row>
    <row r="13" spans="1:8" x14ac:dyDescent="0.2">
      <c r="C13" s="234">
        <f>C12+0.01</f>
        <v>0.05</v>
      </c>
      <c r="D13" s="243">
        <f t="shared" si="1"/>
        <v>8456.8915449103679</v>
      </c>
      <c r="E13" s="233">
        <f t="shared" si="1"/>
        <v>11011.747190818103</v>
      </c>
      <c r="F13" s="236">
        <f t="shared" si="1"/>
        <v>13444.943044063575</v>
      </c>
      <c r="G13" s="233">
        <f t="shared" si="1"/>
        <v>15762.272428106873</v>
      </c>
      <c r="H13" s="244">
        <f t="shared" si="1"/>
        <v>17969.252793862408</v>
      </c>
    </row>
    <row r="14" spans="1:8" x14ac:dyDescent="0.2">
      <c r="C14" s="234">
        <f>C12+0.02</f>
        <v>0.06</v>
      </c>
      <c r="D14" s="243">
        <f t="shared" si="1"/>
        <v>8300.886261936299</v>
      </c>
      <c r="E14" s="233">
        <f t="shared" si="1"/>
        <v>10760.687988099005</v>
      </c>
      <c r="F14" s="236">
        <f t="shared" si="1"/>
        <v>13081.255654290242</v>
      </c>
      <c r="G14" s="233">
        <f t="shared" si="1"/>
        <v>15270.470433715933</v>
      </c>
      <c r="H14" s="244">
        <f t="shared" si="1"/>
        <v>17335.767395438288</v>
      </c>
    </row>
    <row r="15" spans="1:8" ht="17" thickBot="1" x14ac:dyDescent="0.25">
      <c r="C15" s="234">
        <f>C12+0.03</f>
        <v>7.0000000000000007E-2</v>
      </c>
      <c r="D15" s="247">
        <f t="shared" si="1"/>
        <v>8149.6639042195702</v>
      </c>
      <c r="E15" s="248">
        <f t="shared" si="1"/>
        <v>10518.791504362816</v>
      </c>
      <c r="F15" s="249">
        <f t="shared" si="1"/>
        <v>12732.929448421932</v>
      </c>
      <c r="G15" s="248">
        <f t="shared" si="1"/>
        <v>14802.217246608012</v>
      </c>
      <c r="H15" s="250">
        <f t="shared" si="1"/>
        <v>16736.131076688467</v>
      </c>
    </row>
    <row r="17" spans="1:8" x14ac:dyDescent="0.2">
      <c r="B17" s="228" t="s">
        <v>848</v>
      </c>
      <c r="C17" s="238">
        <f>'Debt Capacity'!K21</f>
        <v>54314.200000000004</v>
      </c>
      <c r="D17" s="228"/>
    </row>
    <row r="18" spans="1:8" ht="17" thickBot="1" x14ac:dyDescent="0.25">
      <c r="B18" s="228" t="s">
        <v>849</v>
      </c>
      <c r="C18" s="228"/>
      <c r="D18" s="228" t="s">
        <v>850</v>
      </c>
    </row>
    <row r="19" spans="1:8" x14ac:dyDescent="0.2">
      <c r="D19" s="239">
        <f>D10-$C$17</f>
        <v>-45358.46486242563</v>
      </c>
      <c r="E19" s="240">
        <f t="shared" ref="E19:H19" si="2">E10-$C$17</f>
        <v>-42489.51554605586</v>
      </c>
      <c r="F19" s="240">
        <f t="shared" si="2"/>
        <v>-39676.820137850205</v>
      </c>
      <c r="G19" s="240">
        <f t="shared" si="2"/>
        <v>-36919.275620001528</v>
      </c>
      <c r="H19" s="242">
        <f t="shared" si="2"/>
        <v>-34215.800602502852</v>
      </c>
    </row>
    <row r="20" spans="1:8" x14ac:dyDescent="0.2">
      <c r="D20" s="243">
        <f t="shared" ref="D20:H23" si="3">D11-$C$17</f>
        <v>-45530.1086528097</v>
      </c>
      <c r="E20" s="233">
        <f t="shared" si="3"/>
        <v>-42770.962764428215</v>
      </c>
      <c r="F20" s="233">
        <f t="shared" si="3"/>
        <v>-40092.180348523856</v>
      </c>
      <c r="G20" s="233">
        <f t="shared" si="3"/>
        <v>-37491.420721432238</v>
      </c>
      <c r="H20" s="244">
        <f t="shared" si="3"/>
        <v>-34966.41137474135</v>
      </c>
    </row>
    <row r="21" spans="1:8" x14ac:dyDescent="0.2">
      <c r="D21" s="243">
        <f t="shared" si="3"/>
        <v>-45696.312961381554</v>
      </c>
      <c r="E21" s="233">
        <f t="shared" si="3"/>
        <v>-43041.767265320101</v>
      </c>
      <c r="F21" s="233">
        <f t="shared" si="3"/>
        <v>-40489.319480645623</v>
      </c>
      <c r="G21" s="233">
        <f t="shared" si="3"/>
        <v>-38035.042764612481</v>
      </c>
      <c r="H21" s="244">
        <f t="shared" si="3"/>
        <v>-35675.161306888302</v>
      </c>
    </row>
    <row r="22" spans="1:8" x14ac:dyDescent="0.2">
      <c r="D22" s="243">
        <f t="shared" si="3"/>
        <v>-45857.308455089638</v>
      </c>
      <c r="E22" s="233">
        <f t="shared" si="3"/>
        <v>-43302.452809181901</v>
      </c>
      <c r="F22" s="233">
        <f t="shared" si="3"/>
        <v>-40869.256955936427</v>
      </c>
      <c r="G22" s="233">
        <f t="shared" si="3"/>
        <v>-38551.927571893131</v>
      </c>
      <c r="H22" s="244">
        <f t="shared" si="3"/>
        <v>-36344.9472061376</v>
      </c>
    </row>
    <row r="23" spans="1:8" x14ac:dyDescent="0.2">
      <c r="C23" s="232"/>
      <c r="D23" s="243">
        <f t="shared" si="3"/>
        <v>-46013.313738063705</v>
      </c>
      <c r="E23" s="233">
        <f t="shared" si="3"/>
        <v>-43553.512011900995</v>
      </c>
      <c r="F23" s="233">
        <f t="shared" si="3"/>
        <v>-41232.944345709766</v>
      </c>
      <c r="G23" s="233">
        <f t="shared" si="3"/>
        <v>-39043.72956628407</v>
      </c>
      <c r="H23" s="244">
        <f t="shared" si="3"/>
        <v>-36978.43260456172</v>
      </c>
    </row>
    <row r="24" spans="1:8" ht="17" thickBot="1" x14ac:dyDescent="0.25">
      <c r="D24" s="247">
        <f>D15-$C$17</f>
        <v>-46164.536095780437</v>
      </c>
      <c r="E24" s="248">
        <f t="shared" ref="E24:H24" si="4">E15-$C$17</f>
        <v>-43795.408495637188</v>
      </c>
      <c r="F24" s="248">
        <f t="shared" si="4"/>
        <v>-41581.270551578069</v>
      </c>
      <c r="G24" s="248">
        <f t="shared" si="4"/>
        <v>-39511.982753391989</v>
      </c>
      <c r="H24" s="250">
        <f t="shared" si="4"/>
        <v>-37578.068923311541</v>
      </c>
    </row>
    <row r="26" spans="1:8" x14ac:dyDescent="0.2">
      <c r="A26" s="228" t="s">
        <v>851</v>
      </c>
      <c r="B26" s="228" t="s">
        <v>756</v>
      </c>
    </row>
    <row r="27" spans="1:8" x14ac:dyDescent="0.2">
      <c r="C27" s="232"/>
    </row>
    <row r="28" spans="1:8" ht="17" thickBot="1" x14ac:dyDescent="0.25">
      <c r="C28" s="233">
        <f>-PMT(B7,B6,C17,0,0)</f>
        <v>12200.441967683344</v>
      </c>
      <c r="D28">
        <f>F28-2</f>
        <v>3</v>
      </c>
      <c r="E28">
        <f>F28-1</f>
        <v>4</v>
      </c>
      <c r="F28" s="237">
        <f>B6</f>
        <v>5</v>
      </c>
      <c r="G28">
        <f>F28+1</f>
        <v>6</v>
      </c>
      <c r="H28">
        <f>F28+2</f>
        <v>7</v>
      </c>
    </row>
    <row r="29" spans="1:8" x14ac:dyDescent="0.2">
      <c r="C29" s="234">
        <f>C31-0.02</f>
        <v>0.02</v>
      </c>
      <c r="D29" s="239">
        <f>-PMT($C29,D$28,$C$17)</f>
        <v>18833.702638086525</v>
      </c>
      <c r="E29" s="240">
        <f t="shared" ref="E29:H29" si="5">-PMT($C29,E$28,$C$17)</f>
        <v>14264.199027338846</v>
      </c>
      <c r="F29" s="241">
        <f t="shared" si="5"/>
        <v>11523.213449060981</v>
      </c>
      <c r="G29" s="240">
        <f t="shared" si="5"/>
        <v>9696.4866763366572</v>
      </c>
      <c r="H29" s="242">
        <f t="shared" si="5"/>
        <v>8392.1932861749701</v>
      </c>
    </row>
    <row r="30" spans="1:8" x14ac:dyDescent="0.2">
      <c r="C30" s="234">
        <f>C31-0.01</f>
        <v>0.03</v>
      </c>
      <c r="D30" s="243">
        <f t="shared" ref="D30:H34" si="6">-PMT($C30,D$28,$C$17)</f>
        <v>19201.718859684883</v>
      </c>
      <c r="E30" s="233">
        <f t="shared" si="6"/>
        <v>14611.988738026119</v>
      </c>
      <c r="F30" s="236">
        <f t="shared" si="6"/>
        <v>11859.753861965168</v>
      </c>
      <c r="G30" s="233">
        <f t="shared" si="6"/>
        <v>10026.265558951016</v>
      </c>
      <c r="H30" s="244">
        <f t="shared" si="6"/>
        <v>8717.774199080277</v>
      </c>
    </row>
    <row r="31" spans="1:8" x14ac:dyDescent="0.2">
      <c r="C31" s="235">
        <f>B7</f>
        <v>0.04</v>
      </c>
      <c r="D31" s="245">
        <f t="shared" si="6"/>
        <v>19572.042628395695</v>
      </c>
      <c r="E31" s="236">
        <f t="shared" si="6"/>
        <v>14963.021421952948</v>
      </c>
      <c r="F31" s="236">
        <f t="shared" si="6"/>
        <v>12200.441967683344</v>
      </c>
      <c r="G31" s="236">
        <f t="shared" si="6"/>
        <v>10361.080125197519</v>
      </c>
      <c r="H31" s="246">
        <f t="shared" si="6"/>
        <v>9049.2677902360429</v>
      </c>
    </row>
    <row r="32" spans="1:8" x14ac:dyDescent="0.2">
      <c r="C32" s="234">
        <f>C31+0.01</f>
        <v>0.05</v>
      </c>
      <c r="D32" s="243">
        <f t="shared" si="6"/>
        <v>19944.639421094369</v>
      </c>
      <c r="E32" s="233">
        <f t="shared" si="6"/>
        <v>15317.247078390999</v>
      </c>
      <c r="F32" s="236">
        <f t="shared" si="6"/>
        <v>12545.211380498382</v>
      </c>
      <c r="G32" s="233">
        <f t="shared" si="6"/>
        <v>10700.84616643039</v>
      </c>
      <c r="H32" s="244">
        <f t="shared" si="6"/>
        <v>9386.5701830490052</v>
      </c>
    </row>
    <row r="33" spans="2:8" x14ac:dyDescent="0.2">
      <c r="C33" s="234">
        <f>C31+0.02</f>
        <v>0.06</v>
      </c>
      <c r="D33" s="243">
        <f t="shared" si="6"/>
        <v>20319.475193868584</v>
      </c>
      <c r="E33" s="233">
        <f t="shared" si="6"/>
        <v>15674.61603506045</v>
      </c>
      <c r="F33" s="236">
        <f t="shared" si="6"/>
        <v>12893.99557229972</v>
      </c>
      <c r="G33" s="233">
        <f t="shared" si="6"/>
        <v>11045.47847551117</v>
      </c>
      <c r="H33" s="244">
        <f t="shared" si="6"/>
        <v>9729.5751978607295</v>
      </c>
    </row>
    <row r="34" spans="2:8" ht="17" thickBot="1" x14ac:dyDescent="0.25">
      <c r="C34" s="234">
        <f>C31+0.03</f>
        <v>7.0000000000000007E-2</v>
      </c>
      <c r="D34" s="247">
        <f t="shared" si="6"/>
        <v>20696.516380167348</v>
      </c>
      <c r="E34" s="248">
        <f t="shared" si="6"/>
        <v>16035.078974289087</v>
      </c>
      <c r="F34" s="249">
        <f t="shared" si="6"/>
        <v>13246.727956027682</v>
      </c>
      <c r="G34" s="248">
        <f t="shared" si="6"/>
        <v>11394.891027233787</v>
      </c>
      <c r="H34" s="250">
        <f t="shared" si="6"/>
        <v>10078.174681690716</v>
      </c>
    </row>
    <row r="36" spans="2:8" ht="17" thickBot="1" x14ac:dyDescent="0.25">
      <c r="B36" t="s">
        <v>852</v>
      </c>
      <c r="C36" s="233">
        <f>B5</f>
        <v>3105.4430054486461</v>
      </c>
    </row>
    <row r="37" spans="2:8" x14ac:dyDescent="0.2">
      <c r="B37" t="s">
        <v>853</v>
      </c>
      <c r="D37" s="239">
        <f>$C$36-D29</f>
        <v>-15728.259632637879</v>
      </c>
      <c r="E37" s="240">
        <f t="shared" ref="E37:H37" si="7">$C$36-E29</f>
        <v>-11158.7560218902</v>
      </c>
      <c r="F37" s="240">
        <f t="shared" si="7"/>
        <v>-8417.7704436123349</v>
      </c>
      <c r="G37" s="240">
        <f t="shared" si="7"/>
        <v>-6591.0436708880115</v>
      </c>
      <c r="H37" s="242">
        <f t="shared" si="7"/>
        <v>-5286.7502807263245</v>
      </c>
    </row>
    <row r="38" spans="2:8" x14ac:dyDescent="0.2">
      <c r="D38" s="243">
        <f t="shared" ref="D38:H42" si="8">$C$36-D30</f>
        <v>-16096.275854236237</v>
      </c>
      <c r="E38" s="233">
        <f t="shared" si="8"/>
        <v>-11506.545732577473</v>
      </c>
      <c r="F38" s="233">
        <f t="shared" si="8"/>
        <v>-8754.3108565165221</v>
      </c>
      <c r="G38" s="233">
        <f t="shared" si="8"/>
        <v>-6920.8225535023703</v>
      </c>
      <c r="H38" s="244">
        <f t="shared" si="8"/>
        <v>-5612.3311936316313</v>
      </c>
    </row>
    <row r="39" spans="2:8" x14ac:dyDescent="0.2">
      <c r="D39" s="243">
        <f t="shared" si="8"/>
        <v>-16466.599622947047</v>
      </c>
      <c r="E39" s="233">
        <f t="shared" si="8"/>
        <v>-11857.578416504302</v>
      </c>
      <c r="F39" s="233">
        <f t="shared" si="8"/>
        <v>-9094.9989622346984</v>
      </c>
      <c r="G39" s="233">
        <f t="shared" si="8"/>
        <v>-7255.6371197488734</v>
      </c>
      <c r="H39" s="244">
        <f t="shared" si="8"/>
        <v>-5943.8247847873972</v>
      </c>
    </row>
    <row r="40" spans="2:8" x14ac:dyDescent="0.2">
      <c r="D40" s="243">
        <f t="shared" si="8"/>
        <v>-16839.196415645722</v>
      </c>
      <c r="E40" s="233">
        <f t="shared" si="8"/>
        <v>-12211.804072942354</v>
      </c>
      <c r="F40" s="233">
        <f t="shared" si="8"/>
        <v>-9439.7683750497363</v>
      </c>
      <c r="G40" s="233">
        <f t="shared" si="8"/>
        <v>-7595.4031609817448</v>
      </c>
      <c r="H40" s="244">
        <f t="shared" si="8"/>
        <v>-6281.1271776003596</v>
      </c>
    </row>
    <row r="41" spans="2:8" x14ac:dyDescent="0.2">
      <c r="D41" s="243">
        <f t="shared" si="8"/>
        <v>-17214.032188419937</v>
      </c>
      <c r="E41" s="233">
        <f t="shared" si="8"/>
        <v>-12569.173029611804</v>
      </c>
      <c r="F41" s="233">
        <f t="shared" si="8"/>
        <v>-9788.5525668510745</v>
      </c>
      <c r="G41" s="233">
        <f t="shared" si="8"/>
        <v>-7940.0354700625248</v>
      </c>
      <c r="H41" s="244">
        <f t="shared" si="8"/>
        <v>-6624.1321924120839</v>
      </c>
    </row>
    <row r="42" spans="2:8" ht="17" thickBot="1" x14ac:dyDescent="0.25">
      <c r="D42" s="247">
        <f t="shared" si="8"/>
        <v>-17591.073374718701</v>
      </c>
      <c r="E42" s="248">
        <f t="shared" si="8"/>
        <v>-12929.635968840441</v>
      </c>
      <c r="F42" s="248">
        <f t="shared" si="8"/>
        <v>-10141.284950579036</v>
      </c>
      <c r="G42" s="248">
        <f t="shared" si="8"/>
        <v>-8289.4480217851415</v>
      </c>
      <c r="H42" s="250">
        <f>$C$36-H34</f>
        <v>-6972.7316762420705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95A50-9FA2-AE4D-9FE1-17E25BDB3562}">
  <dimension ref="A1:K72"/>
  <sheetViews>
    <sheetView topLeftCell="A43" zoomScale="113" zoomScaleNormal="150" workbookViewId="0">
      <pane xSplit="1" topLeftCell="B1" activePane="topRight" state="frozen"/>
      <selection activeCell="A46" sqref="A46"/>
      <selection pane="topRight" activeCell="J15" sqref="J15"/>
    </sheetView>
  </sheetViews>
  <sheetFormatPr baseColWidth="10" defaultRowHeight="16" x14ac:dyDescent="0.2"/>
  <cols>
    <col min="1" max="1" width="26.6640625" style="71" bestFit="1" customWidth="1"/>
    <col min="2" max="45" width="15" style="71" customWidth="1"/>
    <col min="46" max="16384" width="10.83203125" style="71"/>
  </cols>
  <sheetData>
    <row r="1" spans="1:11" x14ac:dyDescent="0.2">
      <c r="A1" s="70" t="str">
        <f>Input!A1</f>
        <v>Borrower</v>
      </c>
      <c r="B1" s="70" t="str">
        <f>Input!B1</f>
        <v>Tesco PLC (LSE: TSCO)</v>
      </c>
    </row>
    <row r="2" spans="1:11" x14ac:dyDescent="0.2">
      <c r="A2" s="70" t="s">
        <v>774</v>
      </c>
      <c r="B2" s="70"/>
    </row>
    <row r="4" spans="1:11" s="74" customFormat="1" x14ac:dyDescent="0.2">
      <c r="A4" s="135" t="str">
        <f>Input!A8</f>
        <v>Statement Date</v>
      </c>
      <c r="B4" s="182">
        <f>Input!B8</f>
        <v>2020</v>
      </c>
      <c r="C4" s="182">
        <f>Input!C8</f>
        <v>2021</v>
      </c>
      <c r="D4" s="91">
        <f>Input!D8</f>
        <v>2022</v>
      </c>
      <c r="E4" s="182">
        <f>Input!E8</f>
        <v>2023</v>
      </c>
      <c r="F4" s="91">
        <f>Input!F8</f>
        <v>2024</v>
      </c>
      <c r="G4" s="91">
        <f>Input!G8</f>
        <v>2025</v>
      </c>
      <c r="H4" s="91"/>
      <c r="I4" s="91"/>
      <c r="J4" s="91"/>
      <c r="K4" s="91"/>
    </row>
    <row r="5" spans="1:11" x14ac:dyDescent="0.2">
      <c r="A5" s="73" t="str">
        <f>Input!A9</f>
        <v>Periods</v>
      </c>
      <c r="B5" s="74">
        <f>Input!B9</f>
        <v>12</v>
      </c>
      <c r="C5" s="74">
        <f>Input!C9</f>
        <v>12</v>
      </c>
      <c r="D5" s="74">
        <f>Input!D9</f>
        <v>12</v>
      </c>
      <c r="E5" s="74">
        <f>Input!E9</f>
        <v>12</v>
      </c>
      <c r="F5" s="74">
        <f>Input!F9</f>
        <v>12</v>
      </c>
      <c r="G5" s="74">
        <f>Input!G9</f>
        <v>12</v>
      </c>
    </row>
    <row r="7" spans="1:11" x14ac:dyDescent="0.2">
      <c r="A7" s="155" t="s">
        <v>33</v>
      </c>
      <c r="B7" s="75">
        <f>INDEX('Operating Assumptions &amp; Proj'!$A$184:$K$236,MATCH('6-Packs of Cash Flow'!$A7,'Operating Assumptions &amp; Proj'!$A$184:$A$236,0),MATCH('6-Packs of Cash Flow'!B$4,'Operating Assumptions &amp; Proj'!$184:$184,0))</f>
        <v>971</v>
      </c>
      <c r="C7" s="75">
        <f>INDEX('Operating Assumptions &amp; Proj'!$A$184:$K$236,MATCH('6-Packs of Cash Flow'!$A7,'Operating Assumptions &amp; Proj'!$A$184:$A$236,0),MATCH('6-Packs of Cash Flow'!C$4,'Operating Assumptions &amp; Proj'!$184:$184,0))</f>
        <v>5954</v>
      </c>
      <c r="D7" s="75">
        <f>INDEX('Operating Assumptions &amp; Proj'!$A$184:$K$236,MATCH('6-Packs of Cash Flow'!$A7,'Operating Assumptions &amp; Proj'!$A$184:$A$236,0),MATCH('6-Packs of Cash Flow'!D$4,'Operating Assumptions &amp; Proj'!$184:$184,0))</f>
        <v>1481</v>
      </c>
      <c r="E7" s="75">
        <f>INDEX('Operating Assumptions &amp; Proj'!$A$184:$K$236,MATCH('6-Packs of Cash Flow'!$A7,'Operating Assumptions &amp; Proj'!$A$184:$A$236,0),MATCH('6-Packs of Cash Flow'!E$4,'Operating Assumptions &amp; Proj'!$184:$184,0))</f>
        <v>737</v>
      </c>
      <c r="F7" s="75">
        <f>INDEX('Operating Assumptions &amp; Proj'!$A$184:$K$236,MATCH('6-Packs of Cash Flow'!$A7,'Operating Assumptions &amp; Proj'!$A$184:$A$236,0),MATCH('6-Packs of Cash Flow'!F$4,'Operating Assumptions &amp; Proj'!$184:$184,0))</f>
        <v>1188</v>
      </c>
      <c r="G7" s="75">
        <f>INDEX('Operating Assumptions &amp; Proj'!$A$184:$K$236,MATCH('6-Packs of Cash Flow'!$A7,'Operating Assumptions &amp; Proj'!$A$184:$A$236,0),MATCH('6-Packs of Cash Flow'!G$4,'Operating Assumptions &amp; Proj'!$184:$184,0))</f>
        <v>1626</v>
      </c>
    </row>
    <row r="8" spans="1:11" x14ac:dyDescent="0.2">
      <c r="A8" s="155" t="s">
        <v>104</v>
      </c>
      <c r="B8" s="75">
        <f>INDEX('Operating Assumptions &amp; Proj'!$A$184:$K$236,MATCH('6-Packs of Cash Flow'!$A8,'Operating Assumptions &amp; Proj'!$A$184:$A$236,0),MATCH('6-Packs of Cash Flow'!B$4,'Operating Assumptions &amp; Proj'!$184:$184,0))</f>
        <v>1450</v>
      </c>
      <c r="C8" s="75">
        <f>INDEX('Operating Assumptions &amp; Proj'!$A$184:$K$236,MATCH('6-Packs of Cash Flow'!$A8,'Operating Assumptions &amp; Proj'!$A$184:$A$236,0),MATCH('6-Packs of Cash Flow'!C$4,'Operating Assumptions &amp; Proj'!$184:$184,0))</f>
        <v>1466</v>
      </c>
      <c r="D8" s="75">
        <f>INDEX('Operating Assumptions &amp; Proj'!$A$184:$K$236,MATCH('6-Packs of Cash Flow'!$A8,'Operating Assumptions &amp; Proj'!$A$184:$A$236,0),MATCH('6-Packs of Cash Flow'!D$4,'Operating Assumptions &amp; Proj'!$184:$184,0))</f>
        <v>1431</v>
      </c>
      <c r="E8" s="75">
        <f>INDEX('Operating Assumptions &amp; Proj'!$A$184:$K$236,MATCH('6-Packs of Cash Flow'!$A8,'Operating Assumptions &amp; Proj'!$A$184:$A$236,0),MATCH('6-Packs of Cash Flow'!E$4,'Operating Assumptions &amp; Proj'!$184:$184,0))</f>
        <v>1418</v>
      </c>
      <c r="F8" s="75">
        <f>INDEX('Operating Assumptions &amp; Proj'!$A$184:$K$236,MATCH('6-Packs of Cash Flow'!$A8,'Operating Assumptions &amp; Proj'!$A$184:$A$236,0),MATCH('6-Packs of Cash Flow'!F$4,'Operating Assumptions &amp; Proj'!$184:$184,0))</f>
        <v>1439</v>
      </c>
      <c r="G8" s="75">
        <f>INDEX('Operating Assumptions &amp; Proj'!$A$184:$K$236,MATCH('6-Packs of Cash Flow'!$A8,'Operating Assumptions &amp; Proj'!$A$184:$A$236,0),MATCH('6-Packs of Cash Flow'!G$4,'Operating Assumptions &amp; Proj'!$184:$184,0))</f>
        <v>1488</v>
      </c>
    </row>
    <row r="9" spans="1:11" x14ac:dyDescent="0.2">
      <c r="A9" s="155" t="s">
        <v>105</v>
      </c>
      <c r="B9" s="75">
        <f>INDEX('Operating Assumptions &amp; Proj'!$A$184:$K$236,MATCH('6-Packs of Cash Flow'!$A9,'Operating Assumptions &amp; Proj'!$A$184:$A$236,0),MATCH('6-Packs of Cash Flow'!B$4,'Operating Assumptions &amp; Proj'!$184:$184,0))</f>
        <v>359</v>
      </c>
      <c r="C9" s="75">
        <f>INDEX('Operating Assumptions &amp; Proj'!$A$184:$K$236,MATCH('6-Packs of Cash Flow'!$A9,'Operating Assumptions &amp; Proj'!$A$184:$A$236,0),MATCH('6-Packs of Cash Flow'!C$4,'Operating Assumptions &amp; Proj'!$184:$184,0))</f>
        <v>80</v>
      </c>
      <c r="D9" s="75">
        <f>INDEX('Operating Assumptions &amp; Proj'!$A$184:$K$236,MATCH('6-Packs of Cash Flow'!$A9,'Operating Assumptions &amp; Proj'!$A$184:$A$236,0),MATCH('6-Packs of Cash Flow'!D$4,'Operating Assumptions &amp; Proj'!$184:$184,0))</f>
        <v>78</v>
      </c>
      <c r="E9" s="75">
        <f>INDEX('Operating Assumptions &amp; Proj'!$A$184:$K$236,MATCH('6-Packs of Cash Flow'!$A9,'Operating Assumptions &amp; Proj'!$A$184:$A$236,0),MATCH('6-Packs of Cash Flow'!E$4,'Operating Assumptions &amp; Proj'!$184:$184,0))</f>
        <v>247</v>
      </c>
      <c r="F9" s="75">
        <f>INDEX('Operating Assumptions &amp; Proj'!$A$184:$K$236,MATCH('6-Packs of Cash Flow'!$A9,'Operating Assumptions &amp; Proj'!$A$184:$A$236,0),MATCH('6-Packs of Cash Flow'!F$4,'Operating Assumptions &amp; Proj'!$184:$184,0))</f>
        <v>255</v>
      </c>
      <c r="G9" s="75">
        <f>INDEX('Operating Assumptions &amp; Proj'!$A$184:$K$236,MATCH('6-Packs of Cash Flow'!$A9,'Operating Assumptions &amp; Proj'!$A$184:$A$236,0),MATCH('6-Packs of Cash Flow'!G$4,'Operating Assumptions &amp; Proj'!$184:$184,0))</f>
        <v>287</v>
      </c>
    </row>
    <row r="10" spans="1:11" x14ac:dyDescent="0.2">
      <c r="A10" s="155" t="s">
        <v>278</v>
      </c>
      <c r="B10" s="75">
        <f>INDEX('Operating Assumptions &amp; Proj'!$A$184:$K$236,MATCH('6-Packs of Cash Flow'!$A10,'Operating Assumptions &amp; Proj'!$A$184:$A$236,0),MATCH('6-Packs of Cash Flow'!B$4,'Operating Assumptions &amp; Proj'!$184:$184,0))</f>
        <v>0</v>
      </c>
      <c r="C10" s="75">
        <f>INDEX('Operating Assumptions &amp; Proj'!$A$184:$K$236,MATCH('6-Packs of Cash Flow'!$A10,'Operating Assumptions &amp; Proj'!$A$184:$A$236,0),MATCH('6-Packs of Cash Flow'!C$4,'Operating Assumptions &amp; Proj'!$184:$184,0))</f>
        <v>198</v>
      </c>
      <c r="D10" s="75">
        <f>INDEX('Operating Assumptions &amp; Proj'!$A$184:$K$236,MATCH('6-Packs of Cash Flow'!$A10,'Operating Assumptions &amp; Proj'!$A$184:$A$236,0),MATCH('6-Packs of Cash Flow'!D$4,'Operating Assumptions &amp; Proj'!$184:$184,0))</f>
        <v>209</v>
      </c>
      <c r="E10" s="75">
        <f>INDEX('Operating Assumptions &amp; Proj'!$A$184:$K$236,MATCH('6-Packs of Cash Flow'!$A10,'Operating Assumptions &amp; Proj'!$A$184:$A$236,0),MATCH('6-Packs of Cash Flow'!E$4,'Operating Assumptions &amp; Proj'!$184:$184,0))</f>
        <v>0</v>
      </c>
      <c r="F10" s="75">
        <f>INDEX('Operating Assumptions &amp; Proj'!$A$184:$K$236,MATCH('6-Packs of Cash Flow'!$A10,'Operating Assumptions &amp; Proj'!$A$184:$A$236,0),MATCH('6-Packs of Cash Flow'!F$4,'Operating Assumptions &amp; Proj'!$184:$184,0))</f>
        <v>0</v>
      </c>
      <c r="G10" s="75">
        <f>INDEX('Operating Assumptions &amp; Proj'!$A$184:$K$236,MATCH('6-Packs of Cash Flow'!$A10,'Operating Assumptions &amp; Proj'!$A$184:$A$236,0),MATCH('6-Packs of Cash Flow'!G$4,'Operating Assumptions &amp; Proj'!$184:$184,0))</f>
        <v>0</v>
      </c>
    </row>
    <row r="11" spans="1:11" x14ac:dyDescent="0.2">
      <c r="A11" s="155" t="s">
        <v>279</v>
      </c>
      <c r="B11" s="75">
        <f>INDEX('Operating Assumptions &amp; Proj'!$A$184:$K$236,MATCH('6-Packs of Cash Flow'!$A11,'Operating Assumptions &amp; Proj'!$A$184:$A$236,0),MATCH('6-Packs of Cash Flow'!B$4,'Operating Assumptions &amp; Proj'!$184:$184,0))</f>
        <v>-170</v>
      </c>
      <c r="C11" s="75">
        <f>INDEX('Operating Assumptions &amp; Proj'!$A$184:$K$236,MATCH('6-Packs of Cash Flow'!$A11,'Operating Assumptions &amp; Proj'!$A$184:$A$236,0),MATCH('6-Packs of Cash Flow'!C$4,'Operating Assumptions &amp; Proj'!$184:$184,0))</f>
        <v>-28</v>
      </c>
      <c r="D11" s="75">
        <f>INDEX('Operating Assumptions &amp; Proj'!$A$184:$K$236,MATCH('6-Packs of Cash Flow'!$A11,'Operating Assumptions &amp; Proj'!$A$184:$A$236,0),MATCH('6-Packs of Cash Flow'!D$4,'Operating Assumptions &amp; Proj'!$184:$184,0))</f>
        <v>-120</v>
      </c>
      <c r="E11" s="75">
        <f>INDEX('Operating Assumptions &amp; Proj'!$A$184:$K$236,MATCH('6-Packs of Cash Flow'!$A11,'Operating Assumptions &amp; Proj'!$A$184:$A$236,0),MATCH('6-Packs of Cash Flow'!E$4,'Operating Assumptions &amp; Proj'!$184:$184,0))</f>
        <v>-53</v>
      </c>
      <c r="F11" s="75">
        <f>INDEX('Operating Assumptions &amp; Proj'!$A$184:$K$236,MATCH('6-Packs of Cash Flow'!$A11,'Operating Assumptions &amp; Proj'!$A$184:$A$236,0),MATCH('6-Packs of Cash Flow'!F$4,'Operating Assumptions &amp; Proj'!$184:$184,0))</f>
        <v>655</v>
      </c>
      <c r="G11" s="75">
        <f>INDEX('Operating Assumptions &amp; Proj'!$A$184:$K$236,MATCH('6-Packs of Cash Flow'!$A11,'Operating Assumptions &amp; Proj'!$A$184:$A$236,0),MATCH('6-Packs of Cash Flow'!G$4,'Operating Assumptions &amp; Proj'!$184:$184,0))</f>
        <v>65</v>
      </c>
    </row>
    <row r="12" spans="1:11" x14ac:dyDescent="0.2">
      <c r="A12" s="155" t="s">
        <v>280</v>
      </c>
      <c r="B12" s="75">
        <f>INDEX('Operating Assumptions &amp; Proj'!$A$184:$K$236,MATCH('6-Packs of Cash Flow'!$A12,'Operating Assumptions &amp; Proj'!$A$184:$A$236,0),MATCH('6-Packs of Cash Flow'!B$4,'Operating Assumptions &amp; Proj'!$184:$184,0))</f>
        <v>-24</v>
      </c>
      <c r="C12" s="75">
        <f>INDEX('Operating Assumptions &amp; Proj'!$A$184:$K$236,MATCH('6-Packs of Cash Flow'!$A12,'Operating Assumptions &amp; Proj'!$A$184:$A$236,0),MATCH('6-Packs of Cash Flow'!C$4,'Operating Assumptions &amp; Proj'!$184:$184,0))</f>
        <v>0</v>
      </c>
      <c r="D12" s="75">
        <f>INDEX('Operating Assumptions &amp; Proj'!$A$184:$K$236,MATCH('6-Packs of Cash Flow'!$A12,'Operating Assumptions &amp; Proj'!$A$184:$A$236,0),MATCH('6-Packs of Cash Flow'!D$4,'Operating Assumptions &amp; Proj'!$184:$184,0))</f>
        <v>-25</v>
      </c>
      <c r="E12" s="75">
        <f>INDEX('Operating Assumptions &amp; Proj'!$A$184:$K$236,MATCH('6-Packs of Cash Flow'!$A12,'Operating Assumptions &amp; Proj'!$A$184:$A$236,0),MATCH('6-Packs of Cash Flow'!E$4,'Operating Assumptions &amp; Proj'!$184:$184,0))</f>
        <v>3</v>
      </c>
      <c r="F12" s="75">
        <f>INDEX('Operating Assumptions &amp; Proj'!$A$184:$K$236,MATCH('6-Packs of Cash Flow'!$A12,'Operating Assumptions &amp; Proj'!$A$184:$A$236,0),MATCH('6-Packs of Cash Flow'!F$4,'Operating Assumptions &amp; Proj'!$184:$184,0))</f>
        <v>-9</v>
      </c>
      <c r="G12" s="75">
        <f>INDEX('Operating Assumptions &amp; Proj'!$A$184:$K$236,MATCH('6-Packs of Cash Flow'!$A12,'Operating Assumptions &amp; Proj'!$A$184:$A$236,0),MATCH('6-Packs of Cash Flow'!G$4,'Operating Assumptions &amp; Proj'!$184:$184,0))</f>
        <v>10</v>
      </c>
    </row>
    <row r="13" spans="1:11" x14ac:dyDescent="0.2">
      <c r="A13" s="155" t="s">
        <v>281</v>
      </c>
      <c r="B13" s="75">
        <f>INDEX('Operating Assumptions &amp; Proj'!$A$184:$K$236,MATCH('6-Packs of Cash Flow'!$A13,'Operating Assumptions &amp; Proj'!$A$184:$A$236,0),MATCH('6-Packs of Cash Flow'!B$4,'Operating Assumptions &amp; Proj'!$184:$184,0))</f>
        <v>302</v>
      </c>
      <c r="C13" s="75">
        <f>INDEX('Operating Assumptions &amp; Proj'!$A$184:$K$236,MATCH('6-Packs of Cash Flow'!$A13,'Operating Assumptions &amp; Proj'!$A$184:$A$236,0),MATCH('6-Packs of Cash Flow'!C$4,'Operating Assumptions &amp; Proj'!$184:$184,0))</f>
        <v>206</v>
      </c>
      <c r="D13" s="75">
        <f>INDEX('Operating Assumptions &amp; Proj'!$A$184:$K$236,MATCH('6-Packs of Cash Flow'!$A13,'Operating Assumptions &amp; Proj'!$A$184:$A$236,0),MATCH('6-Packs of Cash Flow'!D$4,'Operating Assumptions &amp; Proj'!$184:$184,0))</f>
        <v>115</v>
      </c>
      <c r="E13" s="75">
        <f>INDEX('Operating Assumptions &amp; Proj'!$A$184:$K$236,MATCH('6-Packs of Cash Flow'!$A13,'Operating Assumptions &amp; Proj'!$A$184:$A$236,0),MATCH('6-Packs of Cash Flow'!E$4,'Operating Assumptions &amp; Proj'!$184:$184,0))</f>
        <v>982</v>
      </c>
      <c r="F13" s="75">
        <f>INDEX('Operating Assumptions &amp; Proj'!$A$184:$K$236,MATCH('6-Packs of Cash Flow'!$A13,'Operating Assumptions &amp; Proj'!$A$184:$A$236,0),MATCH('6-Packs of Cash Flow'!F$4,'Operating Assumptions &amp; Proj'!$184:$184,0))</f>
        <v>43</v>
      </c>
      <c r="G13" s="75">
        <f>INDEX('Operating Assumptions &amp; Proj'!$A$184:$K$236,MATCH('6-Packs of Cash Flow'!$A13,'Operating Assumptions &amp; Proj'!$A$184:$A$236,0),MATCH('6-Packs of Cash Flow'!G$4,'Operating Assumptions &amp; Proj'!$184:$184,0))</f>
        <v>307</v>
      </c>
    </row>
    <row r="14" spans="1:11" x14ac:dyDescent="0.2">
      <c r="A14" s="155" t="s">
        <v>282</v>
      </c>
      <c r="B14" s="75">
        <f>INDEX('Operating Assumptions &amp; Proj'!$A$184:$K$236,MATCH('6-Packs of Cash Flow'!$A14,'Operating Assumptions &amp; Proj'!$A$184:$A$236,0),MATCH('6-Packs of Cash Flow'!B$4,'Operating Assumptions &amp; Proj'!$184:$184,0))</f>
        <v>0</v>
      </c>
      <c r="C14" s="75">
        <f>INDEX('Operating Assumptions &amp; Proj'!$A$184:$K$236,MATCH('6-Packs of Cash Flow'!$A14,'Operating Assumptions &amp; Proj'!$A$184:$A$236,0),MATCH('6-Packs of Cash Flow'!C$4,'Operating Assumptions &amp; Proj'!$184:$184,0))</f>
        <v>0</v>
      </c>
      <c r="D14" s="75">
        <f>INDEX('Operating Assumptions &amp; Proj'!$A$184:$K$236,MATCH('6-Packs of Cash Flow'!$A14,'Operating Assumptions &amp; Proj'!$A$184:$A$236,0),MATCH('6-Packs of Cash Flow'!D$4,'Operating Assumptions &amp; Proj'!$184:$184,0))</f>
        <v>0</v>
      </c>
      <c r="E14" s="75">
        <f>INDEX('Operating Assumptions &amp; Proj'!$A$184:$K$236,MATCH('6-Packs of Cash Flow'!$A14,'Operating Assumptions &amp; Proj'!$A$184:$A$236,0),MATCH('6-Packs of Cash Flow'!E$4,'Operating Assumptions &amp; Proj'!$184:$184,0))</f>
        <v>0</v>
      </c>
      <c r="F14" s="75">
        <f>INDEX('Operating Assumptions &amp; Proj'!$A$184:$K$236,MATCH('6-Packs of Cash Flow'!$A14,'Operating Assumptions &amp; Proj'!$A$184:$A$236,0),MATCH('6-Packs of Cash Flow'!F$4,'Operating Assumptions &amp; Proj'!$184:$184,0))</f>
        <v>0</v>
      </c>
      <c r="G14" s="75">
        <f>INDEX('Operating Assumptions &amp; Proj'!$A$184:$K$236,MATCH('6-Packs of Cash Flow'!$A14,'Operating Assumptions &amp; Proj'!$A$184:$A$236,0),MATCH('6-Packs of Cash Flow'!G$4,'Operating Assumptions &amp; Proj'!$184:$184,0))</f>
        <v>0</v>
      </c>
    </row>
    <row r="15" spans="1:11" x14ac:dyDescent="0.2">
      <c r="A15" s="155" t="s">
        <v>283</v>
      </c>
      <c r="B15" s="75">
        <f>INDEX('Operating Assumptions &amp; Proj'!$A$184:$K$236,MATCH('6-Packs of Cash Flow'!$A15,'Operating Assumptions &amp; Proj'!$A$184:$A$236,0),MATCH('6-Packs of Cash Flow'!B$4,'Operating Assumptions &amp; Proj'!$184:$184,0))</f>
        <v>0</v>
      </c>
      <c r="C15" s="75">
        <f>INDEX('Operating Assumptions &amp; Proj'!$A$184:$K$236,MATCH('6-Packs of Cash Flow'!$A15,'Operating Assumptions &amp; Proj'!$A$184:$A$236,0),MATCH('6-Packs of Cash Flow'!C$4,'Operating Assumptions &amp; Proj'!$184:$184,0))</f>
        <v>0</v>
      </c>
      <c r="D15" s="75">
        <f>INDEX('Operating Assumptions &amp; Proj'!$A$184:$K$236,MATCH('6-Packs of Cash Flow'!$A15,'Operating Assumptions &amp; Proj'!$A$184:$A$236,0),MATCH('6-Packs of Cash Flow'!D$4,'Operating Assumptions &amp; Proj'!$184:$184,0))</f>
        <v>0</v>
      </c>
      <c r="E15" s="75">
        <f>INDEX('Operating Assumptions &amp; Proj'!$A$184:$K$236,MATCH('6-Packs of Cash Flow'!$A15,'Operating Assumptions &amp; Proj'!$A$184:$A$236,0),MATCH('6-Packs of Cash Flow'!E$4,'Operating Assumptions &amp; Proj'!$184:$184,0))</f>
        <v>0</v>
      </c>
      <c r="F15" s="75">
        <f>INDEX('Operating Assumptions &amp; Proj'!$A$184:$K$236,MATCH('6-Packs of Cash Flow'!$A15,'Operating Assumptions &amp; Proj'!$A$184:$A$236,0),MATCH('6-Packs of Cash Flow'!F$4,'Operating Assumptions &amp; Proj'!$184:$184,0))</f>
        <v>0</v>
      </c>
      <c r="G15" s="75">
        <f>INDEX('Operating Assumptions &amp; Proj'!$A$184:$K$236,MATCH('6-Packs of Cash Flow'!$A15,'Operating Assumptions &amp; Proj'!$A$184:$A$236,0),MATCH('6-Packs of Cash Flow'!G$4,'Operating Assumptions &amp; Proj'!$184:$184,0))</f>
        <v>0</v>
      </c>
    </row>
    <row r="16" spans="1:11" x14ac:dyDescent="0.2">
      <c r="A16" s="155" t="s">
        <v>284</v>
      </c>
      <c r="B16" s="75">
        <f>INDEX('Operating Assumptions &amp; Proj'!$A$184:$K$236,MATCH('6-Packs of Cash Flow'!$A16,'Operating Assumptions &amp; Proj'!$A$184:$A$236,0),MATCH('6-Packs of Cash Flow'!B$4,'Operating Assumptions &amp; Proj'!$184:$184,0))</f>
        <v>87</v>
      </c>
      <c r="C16" s="75">
        <f>INDEX('Operating Assumptions &amp; Proj'!$A$184:$K$236,MATCH('6-Packs of Cash Flow'!$A16,'Operating Assumptions &amp; Proj'!$A$184:$A$236,0),MATCH('6-Packs of Cash Flow'!C$4,'Operating Assumptions &amp; Proj'!$184:$184,0))</f>
        <v>30</v>
      </c>
      <c r="D16" s="75">
        <f>INDEX('Operating Assumptions &amp; Proj'!$A$184:$K$236,MATCH('6-Packs of Cash Flow'!$A16,'Operating Assumptions &amp; Proj'!$A$184:$A$236,0),MATCH('6-Packs of Cash Flow'!D$4,'Operating Assumptions &amp; Proj'!$184:$184,0))</f>
        <v>66</v>
      </c>
      <c r="E16" s="75">
        <f>INDEX('Operating Assumptions &amp; Proj'!$A$184:$K$236,MATCH('6-Packs of Cash Flow'!$A16,'Operating Assumptions &amp; Proj'!$A$184:$A$236,0),MATCH('6-Packs of Cash Flow'!E$4,'Operating Assumptions &amp; Proj'!$184:$184,0))</f>
        <v>59</v>
      </c>
      <c r="F16" s="75">
        <f>INDEX('Operating Assumptions &amp; Proj'!$A$184:$K$236,MATCH('6-Packs of Cash Flow'!$A16,'Operating Assumptions &amp; Proj'!$A$184:$A$236,0),MATCH('6-Packs of Cash Flow'!F$4,'Operating Assumptions &amp; Proj'!$184:$184,0))</f>
        <v>78</v>
      </c>
      <c r="G16" s="75">
        <f>INDEX('Operating Assumptions &amp; Proj'!$A$184:$K$236,MATCH('6-Packs of Cash Flow'!$A16,'Operating Assumptions &amp; Proj'!$A$184:$A$236,0),MATCH('6-Packs of Cash Flow'!G$4,'Operating Assumptions &amp; Proj'!$184:$184,0))</f>
        <v>37</v>
      </c>
    </row>
    <row r="17" spans="1:7" x14ac:dyDescent="0.2">
      <c r="A17" s="155" t="s">
        <v>285</v>
      </c>
      <c r="B17" s="75">
        <f>INDEX('Operating Assumptions &amp; Proj'!$A$184:$K$236,MATCH('6-Packs of Cash Flow'!$A17,'Operating Assumptions &amp; Proj'!$A$184:$A$236,0),MATCH('6-Packs of Cash Flow'!B$4,'Operating Assumptions &amp; Proj'!$184:$184,0))</f>
        <v>660</v>
      </c>
      <c r="C17" s="75">
        <f>INDEX('Operating Assumptions &amp; Proj'!$A$184:$K$236,MATCH('6-Packs of Cash Flow'!$A17,'Operating Assumptions &amp; Proj'!$A$184:$A$236,0),MATCH('6-Packs of Cash Flow'!C$4,'Operating Assumptions &amp; Proj'!$184:$184,0))</f>
        <v>305</v>
      </c>
      <c r="D17" s="75">
        <f>INDEX('Operating Assumptions &amp; Proj'!$A$184:$K$236,MATCH('6-Packs of Cash Flow'!$A17,'Operating Assumptions &amp; Proj'!$A$184:$A$236,0),MATCH('6-Packs of Cash Flow'!D$4,'Operating Assumptions &amp; Proj'!$184:$184,0))</f>
        <v>-28</v>
      </c>
      <c r="E17" s="75">
        <f>INDEX('Operating Assumptions &amp; Proj'!$A$184:$K$236,MATCH('6-Packs of Cash Flow'!$A17,'Operating Assumptions &amp; Proj'!$A$184:$A$236,0),MATCH('6-Packs of Cash Flow'!E$4,'Operating Assumptions &amp; Proj'!$184:$184,0))</f>
        <v>133</v>
      </c>
      <c r="F17" s="75">
        <f>INDEX('Operating Assumptions &amp; Proj'!$A$184:$K$236,MATCH('6-Packs of Cash Flow'!$A17,'Operating Assumptions &amp; Proj'!$A$184:$A$236,0),MATCH('6-Packs of Cash Flow'!F$4,'Operating Assumptions &amp; Proj'!$184:$184,0))</f>
        <v>-630</v>
      </c>
      <c r="G17" s="75">
        <f>INDEX('Operating Assumptions &amp; Proj'!$A$184:$K$236,MATCH('6-Packs of Cash Flow'!$A17,'Operating Assumptions &amp; Proj'!$A$184:$A$236,0),MATCH('6-Packs of Cash Flow'!G$4,'Operating Assumptions &amp; Proj'!$184:$184,0))</f>
        <v>35</v>
      </c>
    </row>
    <row r="18" spans="1:7" x14ac:dyDescent="0.2">
      <c r="A18" s="155" t="s">
        <v>290</v>
      </c>
      <c r="B18" s="75">
        <f>INDEX('Operating Assumptions &amp; Proj'!$A$184:$K$236,MATCH('6-Packs of Cash Flow'!$A18,'Operating Assumptions &amp; Proj'!$A$184:$A$236,0),MATCH('6-Packs of Cash Flow'!B$4,'Operating Assumptions &amp; Proj'!$184:$184,0))</f>
        <v>0</v>
      </c>
      <c r="C18" s="75">
        <f>INDEX('Operating Assumptions &amp; Proj'!$A$184:$K$236,MATCH('6-Packs of Cash Flow'!$A18,'Operating Assumptions &amp; Proj'!$A$184:$A$236,0),MATCH('6-Packs of Cash Flow'!C$4,'Operating Assumptions &amp; Proj'!$184:$184,0))</f>
        <v>0</v>
      </c>
      <c r="D18" s="75">
        <f>INDEX('Operating Assumptions &amp; Proj'!$A$184:$K$236,MATCH('6-Packs of Cash Flow'!$A18,'Operating Assumptions &amp; Proj'!$A$184:$A$236,0),MATCH('6-Packs of Cash Flow'!D$4,'Operating Assumptions &amp; Proj'!$184:$184,0))</f>
        <v>0</v>
      </c>
      <c r="E18" s="75">
        <f>INDEX('Operating Assumptions &amp; Proj'!$A$184:$K$236,MATCH('6-Packs of Cash Flow'!$A18,'Operating Assumptions &amp; Proj'!$A$184:$A$236,0),MATCH('6-Packs of Cash Flow'!E$4,'Operating Assumptions &amp; Proj'!$184:$184,0))</f>
        <v>0</v>
      </c>
      <c r="F18" s="75">
        <f>INDEX('Operating Assumptions &amp; Proj'!$A$184:$K$236,MATCH('6-Packs of Cash Flow'!$A18,'Operating Assumptions &amp; Proj'!$A$184:$A$236,0),MATCH('6-Packs of Cash Flow'!F$4,'Operating Assumptions &amp; Proj'!$184:$184,0))</f>
        <v>0</v>
      </c>
      <c r="G18" s="75">
        <f>INDEX('Operating Assumptions &amp; Proj'!$A$184:$K$236,MATCH('6-Packs of Cash Flow'!$A18,'Operating Assumptions &amp; Proj'!$A$184:$A$236,0),MATCH('6-Packs of Cash Flow'!G$4,'Operating Assumptions &amp; Proj'!$184:$184,0))</f>
        <v>0</v>
      </c>
    </row>
    <row r="19" spans="1:7" s="70" customFormat="1" x14ac:dyDescent="0.2">
      <c r="A19" s="70" t="s">
        <v>775</v>
      </c>
      <c r="B19" s="101">
        <f t="shared" ref="B19:G19" si="0">SUM(B7:B17)</f>
        <v>3635</v>
      </c>
      <c r="C19" s="101">
        <f t="shared" si="0"/>
        <v>8211</v>
      </c>
      <c r="D19" s="101">
        <f t="shared" si="0"/>
        <v>3207</v>
      </c>
      <c r="E19" s="101">
        <f t="shared" si="0"/>
        <v>3526</v>
      </c>
      <c r="F19" s="101">
        <f t="shared" si="0"/>
        <v>3019</v>
      </c>
      <c r="G19" s="101">
        <f t="shared" si="0"/>
        <v>3855</v>
      </c>
    </row>
    <row r="20" spans="1:7" x14ac:dyDescent="0.2">
      <c r="A20" s="155" t="s">
        <v>286</v>
      </c>
      <c r="B20" s="75">
        <f>INDEX('Operating Assumptions &amp; Proj'!$A$184:$K$236,MATCH('6-Packs of Cash Flow'!$A20,'Operating Assumptions &amp; Proj'!$A$184:$A$236,0),MATCH('6-Packs of Cash Flow'!B$4,'Operating Assumptions &amp; Proj'!$184:$184,0))</f>
        <v>-44</v>
      </c>
      <c r="C20" s="75">
        <f>INDEX('Operating Assumptions &amp; Proj'!$A$184:$K$236,MATCH('6-Packs of Cash Flow'!$A20,'Operating Assumptions &amp; Proj'!$A$184:$A$236,0),MATCH('6-Packs of Cash Flow'!C$4,'Operating Assumptions &amp; Proj'!$184:$184,0))</f>
        <v>-7855</v>
      </c>
      <c r="D20" s="75">
        <f>INDEX('Operating Assumptions &amp; Proj'!$A$184:$K$236,MATCH('6-Packs of Cash Flow'!$A20,'Operating Assumptions &amp; Proj'!$A$184:$A$236,0),MATCH('6-Packs of Cash Flow'!D$4,'Operating Assumptions &amp; Proj'!$184:$184,0))</f>
        <v>188</v>
      </c>
      <c r="E20" s="75">
        <f>INDEX('Operating Assumptions &amp; Proj'!$A$184:$K$236,MATCH('6-Packs of Cash Flow'!$A20,'Operating Assumptions &amp; Proj'!$A$184:$A$236,0),MATCH('6-Packs of Cash Flow'!E$4,'Operating Assumptions &amp; Proj'!$184:$184,0))</f>
        <v>-55</v>
      </c>
      <c r="F20" s="75">
        <f>INDEX('Operating Assumptions &amp; Proj'!$A$184:$K$236,MATCH('6-Packs of Cash Flow'!$A20,'Operating Assumptions &amp; Proj'!$A$184:$A$236,0),MATCH('6-Packs of Cash Flow'!F$4,'Operating Assumptions &amp; Proj'!$184:$184,0))</f>
        <v>557</v>
      </c>
      <c r="G20" s="75">
        <f>INDEX('Operating Assumptions &amp; Proj'!$A$184:$K$236,MATCH('6-Packs of Cash Flow'!$A20,'Operating Assumptions &amp; Proj'!$A$184:$A$236,0),MATCH('6-Packs of Cash Flow'!G$4,'Operating Assumptions &amp; Proj'!$184:$184,0))</f>
        <v>-80</v>
      </c>
    </row>
    <row r="21" spans="1:7" x14ac:dyDescent="0.2">
      <c r="A21" s="155" t="s">
        <v>287</v>
      </c>
      <c r="B21" s="75">
        <f>INDEX('Operating Assumptions &amp; Proj'!$A$184:$K$236,MATCH('6-Packs of Cash Flow'!$A21,'Operating Assumptions &amp; Proj'!$A$184:$A$236,0),MATCH('6-Packs of Cash Flow'!B$4,'Operating Assumptions &amp; Proj'!$184:$184,0))</f>
        <v>485</v>
      </c>
      <c r="C21" s="75">
        <f>INDEX('Operating Assumptions &amp; Proj'!$A$184:$K$236,MATCH('6-Packs of Cash Flow'!$A21,'Operating Assumptions &amp; Proj'!$A$184:$A$236,0),MATCH('6-Packs of Cash Flow'!C$4,'Operating Assumptions &amp; Proj'!$184:$184,0))</f>
        <v>125</v>
      </c>
      <c r="D21" s="75">
        <f>INDEX('Operating Assumptions &amp; Proj'!$A$184:$K$236,MATCH('6-Packs of Cash Flow'!$A21,'Operating Assumptions &amp; Proj'!$A$184:$A$236,0),MATCH('6-Packs of Cash Flow'!D$4,'Operating Assumptions &amp; Proj'!$184:$184,0))</f>
        <v>35</v>
      </c>
      <c r="E21" s="75">
        <f>INDEX('Operating Assumptions &amp; Proj'!$A$184:$K$236,MATCH('6-Packs of Cash Flow'!$A21,'Operating Assumptions &amp; Proj'!$A$184:$A$236,0),MATCH('6-Packs of Cash Flow'!E$4,'Operating Assumptions &amp; Proj'!$184:$184,0))</f>
        <v>29</v>
      </c>
      <c r="F21" s="75">
        <f>INDEX('Operating Assumptions &amp; Proj'!$A$184:$K$236,MATCH('6-Packs of Cash Flow'!$A21,'Operating Assumptions &amp; Proj'!$A$184:$A$236,0),MATCH('6-Packs of Cash Flow'!F$4,'Operating Assumptions &amp; Proj'!$184:$184,0))</f>
        <v>-129</v>
      </c>
      <c r="G21" s="75">
        <f>INDEX('Operating Assumptions &amp; Proj'!$A$184:$K$236,MATCH('6-Packs of Cash Flow'!$A21,'Operating Assumptions &amp; Proj'!$A$184:$A$236,0),MATCH('6-Packs of Cash Flow'!G$4,'Operating Assumptions &amp; Proj'!$184:$184,0))</f>
        <v>-5</v>
      </c>
    </row>
    <row r="22" spans="1:7" x14ac:dyDescent="0.2">
      <c r="A22" s="155" t="s">
        <v>288</v>
      </c>
      <c r="B22" s="75">
        <f>INDEX('Operating Assumptions &amp; Proj'!$A$184:$K$236,MATCH('6-Packs of Cash Flow'!$A22,'Operating Assumptions &amp; Proj'!$A$184:$A$236,0),MATCH('6-Packs of Cash Flow'!B$4,'Operating Assumptions &amp; Proj'!$184:$184,0))</f>
        <v>179</v>
      </c>
      <c r="C22" s="75">
        <f>INDEX('Operating Assumptions &amp; Proj'!$A$184:$K$236,MATCH('6-Packs of Cash Flow'!$A22,'Operating Assumptions &amp; Proj'!$A$184:$A$236,0),MATCH('6-Packs of Cash Flow'!C$4,'Operating Assumptions &amp; Proj'!$184:$184,0))</f>
        <v>-50</v>
      </c>
      <c r="D22" s="75">
        <f>INDEX('Operating Assumptions &amp; Proj'!$A$184:$K$236,MATCH('6-Packs of Cash Flow'!$A22,'Operating Assumptions &amp; Proj'!$A$184:$A$236,0),MATCH('6-Packs of Cash Flow'!D$4,'Operating Assumptions &amp; Proj'!$184:$184,0))</f>
        <v>-281</v>
      </c>
      <c r="E22" s="75">
        <f>INDEX('Operating Assumptions &amp; Proj'!$A$184:$K$236,MATCH('6-Packs of Cash Flow'!$A22,'Operating Assumptions &amp; Proj'!$A$184:$A$236,0),MATCH('6-Packs of Cash Flow'!E$4,'Operating Assumptions &amp; Proj'!$184:$184,0))</f>
        <v>-147</v>
      </c>
      <c r="F22" s="75">
        <f>INDEX('Operating Assumptions &amp; Proj'!$A$184:$K$236,MATCH('6-Packs of Cash Flow'!$A22,'Operating Assumptions &amp; Proj'!$A$184:$A$236,0),MATCH('6-Packs of Cash Flow'!F$4,'Operating Assumptions &amp; Proj'!$184:$184,0))</f>
        <v>-150</v>
      </c>
      <c r="G22" s="75">
        <f>INDEX('Operating Assumptions &amp; Proj'!$A$184:$K$236,MATCH('6-Packs of Cash Flow'!$A22,'Operating Assumptions &amp; Proj'!$A$184:$A$236,0),MATCH('6-Packs of Cash Flow'!G$4,'Operating Assumptions &amp; Proj'!$184:$184,0))</f>
        <v>-141</v>
      </c>
    </row>
    <row r="23" spans="1:7" x14ac:dyDescent="0.2">
      <c r="A23" s="155" t="s">
        <v>289</v>
      </c>
      <c r="B23" s="75">
        <f>INDEX('Operating Assumptions &amp; Proj'!$A$184:$K$236,MATCH('6-Packs of Cash Flow'!$A23,'Operating Assumptions &amp; Proj'!$A$184:$A$236,0),MATCH('6-Packs of Cash Flow'!B$4,'Operating Assumptions &amp; Proj'!$184:$184,0))</f>
        <v>-4252</v>
      </c>
      <c r="C23" s="75">
        <f>INDEX('Operating Assumptions &amp; Proj'!$A$184:$K$236,MATCH('6-Packs of Cash Flow'!$A23,'Operating Assumptions &amp; Proj'!$A$184:$A$236,0),MATCH('6-Packs of Cash Flow'!C$4,'Operating Assumptions &amp; Proj'!$184:$184,0))</f>
        <v>-1573</v>
      </c>
      <c r="D23" s="75">
        <f>INDEX('Operating Assumptions &amp; Proj'!$A$184:$K$236,MATCH('6-Packs of Cash Flow'!$A23,'Operating Assumptions &amp; Proj'!$A$184:$A$236,0),MATCH('6-Packs of Cash Flow'!D$4,'Operating Assumptions &amp; Proj'!$184:$184,0))</f>
        <v>790</v>
      </c>
      <c r="E23" s="75">
        <f>INDEX('Operating Assumptions &amp; Proj'!$A$184:$K$236,MATCH('6-Packs of Cash Flow'!$A23,'Operating Assumptions &amp; Proj'!$A$184:$A$236,0),MATCH('6-Packs of Cash Flow'!E$4,'Operating Assumptions &amp; Proj'!$184:$184,0))</f>
        <v>991</v>
      </c>
      <c r="F23" s="75">
        <f>INDEX('Operating Assumptions &amp; Proj'!$A$184:$K$236,MATCH('6-Packs of Cash Flow'!$A23,'Operating Assumptions &amp; Proj'!$A$184:$A$236,0),MATCH('6-Packs of Cash Flow'!F$4,'Operating Assumptions &amp; Proj'!$184:$184,0))</f>
        <v>698</v>
      </c>
      <c r="G23" s="75">
        <f>INDEX('Operating Assumptions &amp; Proj'!$A$184:$K$236,MATCH('6-Packs of Cash Flow'!$A23,'Operating Assumptions &amp; Proj'!$A$184:$A$236,0),MATCH('6-Packs of Cash Flow'!G$4,'Operating Assumptions &amp; Proj'!$184:$184,0))</f>
        <v>158</v>
      </c>
    </row>
    <row r="24" spans="1:7" x14ac:dyDescent="0.2">
      <c r="A24" s="155" t="s">
        <v>291</v>
      </c>
      <c r="B24" s="75">
        <f>INDEX('Operating Assumptions &amp; Proj'!$A$184:$K$236,MATCH('6-Packs of Cash Flow'!$A24,'Operating Assumptions &amp; Proj'!$A$184:$A$236,0),MATCH('6-Packs of Cash Flow'!B$4,'Operating Assumptions &amp; Proj'!$184:$184,0))</f>
        <v>45</v>
      </c>
      <c r="C24" s="75">
        <f>INDEX('Operating Assumptions &amp; Proj'!$A$184:$K$236,MATCH('6-Packs of Cash Flow'!$A24,'Operating Assumptions &amp; Proj'!$A$184:$A$236,0),MATCH('6-Packs of Cash Flow'!C$4,'Operating Assumptions &amp; Proj'!$184:$184,0))</f>
        <v>1744</v>
      </c>
      <c r="D24" s="75">
        <f>INDEX('Operating Assumptions &amp; Proj'!$A$184:$K$236,MATCH('6-Packs of Cash Flow'!$A24,'Operating Assumptions &amp; Proj'!$A$184:$A$236,0),MATCH('6-Packs of Cash Flow'!D$4,'Operating Assumptions &amp; Proj'!$184:$184,0))</f>
        <v>-182</v>
      </c>
      <c r="E24" s="75">
        <f>INDEX('Operating Assumptions &amp; Proj'!$A$184:$K$236,MATCH('6-Packs of Cash Flow'!$A24,'Operating Assumptions &amp; Proj'!$A$184:$A$236,0),MATCH('6-Packs of Cash Flow'!E$4,'Operating Assumptions &amp; Proj'!$184:$184,0))</f>
        <v>-622</v>
      </c>
      <c r="F24" s="75">
        <f>INDEX('Operating Assumptions &amp; Proj'!$A$184:$K$236,MATCH('6-Packs of Cash Flow'!$A24,'Operating Assumptions &amp; Proj'!$A$184:$A$236,0),MATCH('6-Packs of Cash Flow'!F$4,'Operating Assumptions &amp; Proj'!$184:$184,0))</f>
        <v>-156</v>
      </c>
      <c r="G24" s="75">
        <f>INDEX('Operating Assumptions &amp; Proj'!$A$184:$K$236,MATCH('6-Packs of Cash Flow'!$A24,'Operating Assumptions &amp; Proj'!$A$184:$A$236,0),MATCH('6-Packs of Cash Flow'!G$4,'Operating Assumptions &amp; Proj'!$184:$184,0))</f>
        <v>-865</v>
      </c>
    </row>
    <row r="25" spans="1:7" s="70" customFormat="1" x14ac:dyDescent="0.2">
      <c r="A25" s="70" t="s">
        <v>776</v>
      </c>
      <c r="B25" s="101">
        <f t="shared" ref="B25:G25" si="1">SUM(B20:B24)</f>
        <v>-3587</v>
      </c>
      <c r="C25" s="101">
        <f t="shared" si="1"/>
        <v>-7609</v>
      </c>
      <c r="D25" s="101">
        <f t="shared" si="1"/>
        <v>550</v>
      </c>
      <c r="E25" s="101">
        <f t="shared" si="1"/>
        <v>196</v>
      </c>
      <c r="F25" s="101">
        <f t="shared" si="1"/>
        <v>820</v>
      </c>
      <c r="G25" s="101">
        <f t="shared" si="1"/>
        <v>-933</v>
      </c>
    </row>
    <row r="26" spans="1:7" s="70" customFormat="1" x14ac:dyDescent="0.2">
      <c r="A26" s="70" t="s">
        <v>777</v>
      </c>
      <c r="B26" s="101">
        <f t="shared" ref="B26" si="2">SUM(B19,B25)</f>
        <v>48</v>
      </c>
      <c r="C26" s="101">
        <f t="shared" ref="C26" si="3">SUM(C19,C25)</f>
        <v>602</v>
      </c>
      <c r="D26" s="101">
        <f t="shared" ref="D26" si="4">SUM(D19,D25)</f>
        <v>3757</v>
      </c>
      <c r="E26" s="101">
        <f t="shared" ref="E26" si="5">SUM(E19,E25)</f>
        <v>3722</v>
      </c>
      <c r="F26" s="101">
        <f t="shared" ref="F26" si="6">SUM(F19,F25)</f>
        <v>3839</v>
      </c>
      <c r="G26" s="101">
        <f t="shared" ref="G26" si="7">SUM(G19,G25)</f>
        <v>2922</v>
      </c>
    </row>
    <row r="27" spans="1:7" x14ac:dyDescent="0.2">
      <c r="B27" s="75"/>
      <c r="C27" s="75"/>
      <c r="D27" s="75"/>
      <c r="E27" s="75"/>
      <c r="F27" s="75"/>
      <c r="G27" s="75"/>
    </row>
    <row r="28" spans="1:7" x14ac:dyDescent="0.2">
      <c r="A28" s="155" t="s">
        <v>293</v>
      </c>
      <c r="B28" s="75">
        <f>INDEX('Operating Assumptions &amp; Proj'!$A$184:$K$236,MATCH('6-Packs of Cash Flow'!$A28,'Operating Assumptions &amp; Proj'!$A$184:$A$236,0),MATCH('6-Packs of Cash Flow'!B$4,'Operating Assumptions &amp; Proj'!$184:$184,0))</f>
        <v>-1003</v>
      </c>
      <c r="C28" s="75">
        <f>INDEX('Operating Assumptions &amp; Proj'!$A$184:$K$236,MATCH('6-Packs of Cash Flow'!$A28,'Operating Assumptions &amp; Proj'!$A$184:$A$236,0),MATCH('6-Packs of Cash Flow'!C$4,'Operating Assumptions &amp; Proj'!$184:$184,0))</f>
        <v>-1171</v>
      </c>
      <c r="D28" s="75">
        <f>INDEX('Operating Assumptions &amp; Proj'!$A$184:$K$236,MATCH('6-Packs of Cash Flow'!$A28,'Operating Assumptions &amp; Proj'!$A$184:$A$236,0),MATCH('6-Packs of Cash Flow'!D$4,'Operating Assumptions &amp; Proj'!$184:$184,0))</f>
        <v>-949</v>
      </c>
      <c r="E28" s="75">
        <f>INDEX('Operating Assumptions &amp; Proj'!$A$184:$K$236,MATCH('6-Packs of Cash Flow'!$A28,'Operating Assumptions &amp; Proj'!$A$184:$A$236,0),MATCH('6-Packs of Cash Flow'!E$4,'Operating Assumptions &amp; Proj'!$184:$184,0))</f>
        <v>-971</v>
      </c>
      <c r="F28" s="75">
        <f>INDEX('Operating Assumptions &amp; Proj'!$A$184:$K$236,MATCH('6-Packs of Cash Flow'!$A28,'Operating Assumptions &amp; Proj'!$A$184:$A$236,0),MATCH('6-Packs of Cash Flow'!F$4,'Operating Assumptions &amp; Proj'!$184:$184,0))</f>
        <v>-1108</v>
      </c>
      <c r="G28" s="75">
        <f>INDEX('Operating Assumptions &amp; Proj'!$A$184:$K$236,MATCH('6-Packs of Cash Flow'!$A28,'Operating Assumptions &amp; Proj'!$A$184:$A$236,0),MATCH('6-Packs of Cash Flow'!G$4,'Operating Assumptions &amp; Proj'!$184:$184,0))</f>
        <v>-1247</v>
      </c>
    </row>
    <row r="29" spans="1:7" x14ac:dyDescent="0.2">
      <c r="A29" s="155" t="s">
        <v>294</v>
      </c>
      <c r="B29" s="75">
        <f>INDEX('Operating Assumptions &amp; Proj'!$A$184:$K$236,MATCH('6-Packs of Cash Flow'!$A29,'Operating Assumptions &amp; Proj'!$A$184:$A$236,0),MATCH('6-Packs of Cash Flow'!B$4,'Operating Assumptions &amp; Proj'!$184:$184,0))</f>
        <v>3965</v>
      </c>
      <c r="C29" s="75">
        <f>INDEX('Operating Assumptions &amp; Proj'!$A$184:$K$236,MATCH('6-Packs of Cash Flow'!$A29,'Operating Assumptions &amp; Proj'!$A$184:$A$236,0),MATCH('6-Packs of Cash Flow'!C$4,'Operating Assumptions &amp; Proj'!$184:$184,0))</f>
        <v>237</v>
      </c>
      <c r="D29" s="75">
        <f>INDEX('Operating Assumptions &amp; Proj'!$A$184:$K$236,MATCH('6-Packs of Cash Flow'!$A29,'Operating Assumptions &amp; Proj'!$A$184:$A$236,0),MATCH('6-Packs of Cash Flow'!D$4,'Operating Assumptions &amp; Proj'!$184:$184,0))</f>
        <v>309</v>
      </c>
      <c r="E29" s="75">
        <f>INDEX('Operating Assumptions &amp; Proj'!$A$184:$K$236,MATCH('6-Packs of Cash Flow'!$A29,'Operating Assumptions &amp; Proj'!$A$184:$A$236,0),MATCH('6-Packs of Cash Flow'!E$4,'Operating Assumptions &amp; Proj'!$184:$184,0))</f>
        <v>342</v>
      </c>
      <c r="F29" s="75">
        <f>INDEX('Operating Assumptions &amp; Proj'!$A$184:$K$236,MATCH('6-Packs of Cash Flow'!$A29,'Operating Assumptions &amp; Proj'!$A$184:$A$236,0),MATCH('6-Packs of Cash Flow'!F$4,'Operating Assumptions &amp; Proj'!$184:$184,0))</f>
        <v>55</v>
      </c>
      <c r="G29" s="75">
        <f>INDEX('Operating Assumptions &amp; Proj'!$A$184:$K$236,MATCH('6-Packs of Cash Flow'!$A29,'Operating Assumptions &amp; Proj'!$A$184:$A$236,0),MATCH('6-Packs of Cash Flow'!G$4,'Operating Assumptions &amp; Proj'!$184:$184,0))</f>
        <v>137</v>
      </c>
    </row>
    <row r="30" spans="1:7" x14ac:dyDescent="0.2">
      <c r="A30" s="155" t="s">
        <v>295</v>
      </c>
      <c r="B30" s="75">
        <f>INDEX('Operating Assumptions &amp; Proj'!$A$184:$K$236,MATCH('6-Packs of Cash Flow'!$A30,'Operating Assumptions &amp; Proj'!$A$184:$A$236,0),MATCH('6-Packs of Cash Flow'!B$4,'Operating Assumptions &amp; Proj'!$184:$184,0))</f>
        <v>0</v>
      </c>
      <c r="C30" s="75">
        <f>INDEX('Operating Assumptions &amp; Proj'!$A$184:$K$236,MATCH('6-Packs of Cash Flow'!$A30,'Operating Assumptions &amp; Proj'!$A$184:$A$236,0),MATCH('6-Packs of Cash Flow'!C$4,'Operating Assumptions &amp; Proj'!$184:$184,0))</f>
        <v>15</v>
      </c>
      <c r="D30" s="75">
        <f>INDEX('Operating Assumptions &amp; Proj'!$A$184:$K$236,MATCH('6-Packs of Cash Flow'!$A30,'Operating Assumptions &amp; Proj'!$A$184:$A$236,0),MATCH('6-Packs of Cash Flow'!D$4,'Operating Assumptions &amp; Proj'!$184:$184,0))</f>
        <v>-48</v>
      </c>
      <c r="E30" s="75">
        <f>INDEX('Operating Assumptions &amp; Proj'!$A$184:$K$236,MATCH('6-Packs of Cash Flow'!$A30,'Operating Assumptions &amp; Proj'!$A$184:$A$236,0),MATCH('6-Packs of Cash Flow'!E$4,'Operating Assumptions &amp; Proj'!$184:$184,0))</f>
        <v>-71</v>
      </c>
      <c r="F30" s="75">
        <f>INDEX('Operating Assumptions &amp; Proj'!$A$184:$K$236,MATCH('6-Packs of Cash Flow'!$A30,'Operating Assumptions &amp; Proj'!$A$184:$A$236,0),MATCH('6-Packs of Cash Flow'!F$4,'Operating Assumptions &amp; Proj'!$184:$184,0))</f>
        <v>-17</v>
      </c>
      <c r="G30" s="75">
        <f>INDEX('Operating Assumptions &amp; Proj'!$A$184:$K$236,MATCH('6-Packs of Cash Flow'!$A30,'Operating Assumptions &amp; Proj'!$A$184:$A$236,0),MATCH('6-Packs of Cash Flow'!G$4,'Operating Assumptions &amp; Proj'!$184:$184,0))</f>
        <v>-46</v>
      </c>
    </row>
    <row r="31" spans="1:7" x14ac:dyDescent="0.2">
      <c r="A31" s="155" t="s">
        <v>296</v>
      </c>
      <c r="B31" s="75">
        <f>INDEX('Operating Assumptions &amp; Proj'!$A$184:$K$236,MATCH('6-Packs of Cash Flow'!$A31,'Operating Assumptions &amp; Proj'!$A$184:$A$236,0),MATCH('6-Packs of Cash Flow'!B$4,'Operating Assumptions &amp; Proj'!$184:$184,0))</f>
        <v>-6</v>
      </c>
      <c r="C31" s="75">
        <f>INDEX('Operating Assumptions &amp; Proj'!$A$184:$K$236,MATCH('6-Packs of Cash Flow'!$A31,'Operating Assumptions &amp; Proj'!$A$184:$A$236,0),MATCH('6-Packs of Cash Flow'!C$4,'Operating Assumptions &amp; Proj'!$184:$184,0))</f>
        <v>7806</v>
      </c>
      <c r="D31" s="75">
        <f>INDEX('Operating Assumptions &amp; Proj'!$A$184:$K$236,MATCH('6-Packs of Cash Flow'!$A31,'Operating Assumptions &amp; Proj'!$A$184:$A$236,0),MATCH('6-Packs of Cash Flow'!D$4,'Operating Assumptions &amp; Proj'!$184:$184,0))</f>
        <v>117</v>
      </c>
      <c r="E31" s="75">
        <f>INDEX('Operating Assumptions &amp; Proj'!$A$184:$K$236,MATCH('6-Packs of Cash Flow'!$A31,'Operating Assumptions &amp; Proj'!$A$184:$A$236,0),MATCH('6-Packs of Cash Flow'!E$4,'Operating Assumptions &amp; Proj'!$184:$184,0))</f>
        <v>0</v>
      </c>
      <c r="F31" s="75">
        <f>INDEX('Operating Assumptions &amp; Proj'!$A$184:$K$236,MATCH('6-Packs of Cash Flow'!$A31,'Operating Assumptions &amp; Proj'!$A$184:$A$236,0),MATCH('6-Packs of Cash Flow'!F$4,'Operating Assumptions &amp; Proj'!$184:$184,0))</f>
        <v>15</v>
      </c>
      <c r="G31" s="75">
        <f>INDEX('Operating Assumptions &amp; Proj'!$A$184:$K$236,MATCH('6-Packs of Cash Flow'!$A31,'Operating Assumptions &amp; Proj'!$A$184:$A$236,0),MATCH('6-Packs of Cash Flow'!G$4,'Operating Assumptions &amp; Proj'!$184:$184,0))</f>
        <v>0</v>
      </c>
    </row>
    <row r="32" spans="1:7" s="70" customFormat="1" x14ac:dyDescent="0.2">
      <c r="A32" s="70" t="s">
        <v>778</v>
      </c>
      <c r="B32" s="101">
        <f t="shared" ref="B32:G32" si="8">SUM(B28:B31)</f>
        <v>2956</v>
      </c>
      <c r="C32" s="101">
        <f t="shared" si="8"/>
        <v>6887</v>
      </c>
      <c r="D32" s="101">
        <f t="shared" si="8"/>
        <v>-571</v>
      </c>
      <c r="E32" s="101">
        <f t="shared" si="8"/>
        <v>-700</v>
      </c>
      <c r="F32" s="101">
        <f t="shared" si="8"/>
        <v>-1055</v>
      </c>
      <c r="G32" s="101">
        <f t="shared" si="8"/>
        <v>-1156</v>
      </c>
    </row>
    <row r="33" spans="1:7" x14ac:dyDescent="0.2">
      <c r="A33" s="155" t="s">
        <v>297</v>
      </c>
      <c r="B33" s="75">
        <f>INDEX('Operating Assumptions &amp; Proj'!$A$184:$K$236,MATCH('6-Packs of Cash Flow'!$A33,'Operating Assumptions &amp; Proj'!$A$184:$A$236,0),MATCH('6-Packs of Cash Flow'!B$4,'Operating Assumptions &amp; Proj'!$184:$184,0))</f>
        <v>-201</v>
      </c>
      <c r="C33" s="75">
        <f>INDEX('Operating Assumptions &amp; Proj'!$A$184:$K$236,MATCH('6-Packs of Cash Flow'!$A33,'Operating Assumptions &amp; Proj'!$A$184:$A$236,0),MATCH('6-Packs of Cash Flow'!C$4,'Operating Assumptions &amp; Proj'!$184:$184,0))</f>
        <v>-206</v>
      </c>
      <c r="D33" s="75">
        <f>INDEX('Operating Assumptions &amp; Proj'!$A$184:$K$236,MATCH('6-Packs of Cash Flow'!$A33,'Operating Assumptions &amp; Proj'!$A$184:$A$236,0),MATCH('6-Packs of Cash Flow'!D$4,'Operating Assumptions &amp; Proj'!$184:$184,0))</f>
        <v>-229</v>
      </c>
      <c r="E33" s="75">
        <f>INDEX('Operating Assumptions &amp; Proj'!$A$184:$K$236,MATCH('6-Packs of Cash Flow'!$A33,'Operating Assumptions &amp; Proj'!$A$184:$A$236,0),MATCH('6-Packs of Cash Flow'!E$4,'Operating Assumptions &amp; Proj'!$184:$184,0))</f>
        <v>-279</v>
      </c>
      <c r="F33" s="75">
        <f>INDEX('Operating Assumptions &amp; Proj'!$A$184:$K$236,MATCH('6-Packs of Cash Flow'!$A33,'Operating Assumptions &amp; Proj'!$A$184:$A$236,0),MATCH('6-Packs of Cash Flow'!F$4,'Operating Assumptions &amp; Proj'!$184:$184,0))</f>
        <v>-278</v>
      </c>
      <c r="G33" s="75">
        <f>INDEX('Operating Assumptions &amp; Proj'!$A$184:$K$236,MATCH('6-Packs of Cash Flow'!$A33,'Operating Assumptions &amp; Proj'!$A$184:$A$236,0),MATCH('6-Packs of Cash Flow'!G$4,'Operating Assumptions &amp; Proj'!$184:$184,0))</f>
        <v>-292</v>
      </c>
    </row>
    <row r="34" spans="1:7" x14ac:dyDescent="0.2">
      <c r="A34" s="155" t="s">
        <v>298</v>
      </c>
      <c r="B34" s="75">
        <f>INDEX('Operating Assumptions &amp; Proj'!$A$184:$K$236,MATCH('6-Packs of Cash Flow'!$A34,'Operating Assumptions &amp; Proj'!$A$184:$A$236,0),MATCH('6-Packs of Cash Flow'!B$4,'Operating Assumptions &amp; Proj'!$184:$184,0))</f>
        <v>-425</v>
      </c>
      <c r="C34" s="75">
        <f>INDEX('Operating Assumptions &amp; Proj'!$A$184:$K$236,MATCH('6-Packs of Cash Flow'!$A34,'Operating Assumptions &amp; Proj'!$A$184:$A$236,0),MATCH('6-Packs of Cash Flow'!C$4,'Operating Assumptions &amp; Proj'!$184:$184,0))</f>
        <v>167</v>
      </c>
      <c r="D34" s="75">
        <f>INDEX('Operating Assumptions &amp; Proj'!$A$184:$K$236,MATCH('6-Packs of Cash Flow'!$A34,'Operating Assumptions &amp; Proj'!$A$184:$A$236,0),MATCH('6-Packs of Cash Flow'!D$4,'Operating Assumptions &amp; Proj'!$184:$184,0))</f>
        <v>-1010</v>
      </c>
      <c r="E34" s="75">
        <f>INDEX('Operating Assumptions &amp; Proj'!$A$184:$K$236,MATCH('6-Packs of Cash Flow'!$A34,'Operating Assumptions &amp; Proj'!$A$184:$A$236,0),MATCH('6-Packs of Cash Flow'!E$4,'Operating Assumptions &amp; Proj'!$184:$184,0))</f>
        <v>142</v>
      </c>
      <c r="F34" s="75">
        <f>INDEX('Operating Assumptions &amp; Proj'!$A$184:$K$236,MATCH('6-Packs of Cash Flow'!$A34,'Operating Assumptions &amp; Proj'!$A$184:$A$236,0),MATCH('6-Packs of Cash Flow'!F$4,'Operating Assumptions &amp; Proj'!$184:$184,0))</f>
        <v>-545</v>
      </c>
      <c r="G34" s="75">
        <f>INDEX('Operating Assumptions &amp; Proj'!$A$184:$K$236,MATCH('6-Packs of Cash Flow'!$A34,'Operating Assumptions &amp; Proj'!$A$184:$A$236,0),MATCH('6-Packs of Cash Flow'!G$4,'Operating Assumptions &amp; Proj'!$184:$184,0))</f>
        <v>566</v>
      </c>
    </row>
    <row r="35" spans="1:7" x14ac:dyDescent="0.2">
      <c r="A35" s="155" t="s">
        <v>299</v>
      </c>
      <c r="B35" s="75">
        <f>INDEX('Operating Assumptions &amp; Proj'!$A$184:$K$236,MATCH('6-Packs of Cash Flow'!$A35,'Operating Assumptions &amp; Proj'!$A$184:$A$236,0),MATCH('6-Packs of Cash Flow'!B$4,'Operating Assumptions &amp; Proj'!$184:$184,0))</f>
        <v>0</v>
      </c>
      <c r="C35" s="75">
        <f>INDEX('Operating Assumptions &amp; Proj'!$A$184:$K$236,MATCH('6-Packs of Cash Flow'!$A35,'Operating Assumptions &amp; Proj'!$A$184:$A$236,0),MATCH('6-Packs of Cash Flow'!C$4,'Operating Assumptions &amp; Proj'!$184:$184,0))</f>
        <v>0</v>
      </c>
      <c r="D35" s="75">
        <f>INDEX('Operating Assumptions &amp; Proj'!$A$184:$K$236,MATCH('6-Packs of Cash Flow'!$A35,'Operating Assumptions &amp; Proj'!$A$184:$A$236,0),MATCH('6-Packs of Cash Flow'!D$4,'Operating Assumptions &amp; Proj'!$184:$184,0))</f>
        <v>0</v>
      </c>
      <c r="E35" s="75">
        <f>INDEX('Operating Assumptions &amp; Proj'!$A$184:$K$236,MATCH('6-Packs of Cash Flow'!$A35,'Operating Assumptions &amp; Proj'!$A$184:$A$236,0),MATCH('6-Packs of Cash Flow'!E$4,'Operating Assumptions &amp; Proj'!$184:$184,0))</f>
        <v>0</v>
      </c>
      <c r="F35" s="75">
        <f>INDEX('Operating Assumptions &amp; Proj'!$A$184:$K$236,MATCH('6-Packs of Cash Flow'!$A35,'Operating Assumptions &amp; Proj'!$A$184:$A$236,0),MATCH('6-Packs of Cash Flow'!F$4,'Operating Assumptions &amp; Proj'!$184:$184,0))</f>
        <v>0</v>
      </c>
      <c r="G35" s="75">
        <f>INDEX('Operating Assumptions &amp; Proj'!$A$184:$K$236,MATCH('6-Packs of Cash Flow'!$A35,'Operating Assumptions &amp; Proj'!$A$184:$A$236,0),MATCH('6-Packs of Cash Flow'!G$4,'Operating Assumptions &amp; Proj'!$184:$184,0))</f>
        <v>0</v>
      </c>
    </row>
    <row r="36" spans="1:7" x14ac:dyDescent="0.2">
      <c r="A36" s="155" t="s">
        <v>300</v>
      </c>
      <c r="B36" s="75">
        <f>INDEX('Operating Assumptions &amp; Proj'!$A$184:$K$236,MATCH('6-Packs of Cash Flow'!$A36,'Operating Assumptions &amp; Proj'!$A$184:$A$236,0),MATCH('6-Packs of Cash Flow'!B$4,'Operating Assumptions &amp; Proj'!$184:$184,0))</f>
        <v>68</v>
      </c>
      <c r="C36" s="75">
        <f>INDEX('Operating Assumptions &amp; Proj'!$A$184:$K$236,MATCH('6-Packs of Cash Flow'!$A36,'Operating Assumptions &amp; Proj'!$A$184:$A$236,0),MATCH('6-Packs of Cash Flow'!C$4,'Operating Assumptions &amp; Proj'!$184:$184,0))</f>
        <v>-677</v>
      </c>
      <c r="D36" s="75">
        <f>INDEX('Operating Assumptions &amp; Proj'!$A$184:$K$236,MATCH('6-Packs of Cash Flow'!$A36,'Operating Assumptions &amp; Proj'!$A$184:$A$236,0),MATCH('6-Packs of Cash Flow'!D$4,'Operating Assumptions &amp; Proj'!$184:$184,0))</f>
        <v>75</v>
      </c>
      <c r="E36" s="75">
        <f>INDEX('Operating Assumptions &amp; Proj'!$A$184:$K$236,MATCH('6-Packs of Cash Flow'!$A36,'Operating Assumptions &amp; Proj'!$A$184:$A$236,0),MATCH('6-Packs of Cash Flow'!E$4,'Operating Assumptions &amp; Proj'!$184:$184,0))</f>
        <v>131</v>
      </c>
      <c r="F36" s="75">
        <f>INDEX('Operating Assumptions &amp; Proj'!$A$184:$K$236,MATCH('6-Packs of Cash Flow'!$A36,'Operating Assumptions &amp; Proj'!$A$184:$A$236,0),MATCH('6-Packs of Cash Flow'!F$4,'Operating Assumptions &amp; Proj'!$184:$184,0))</f>
        <v>178</v>
      </c>
      <c r="G36" s="75">
        <f>INDEX('Operating Assumptions &amp; Proj'!$A$184:$K$236,MATCH('6-Packs of Cash Flow'!$A36,'Operating Assumptions &amp; Proj'!$A$184:$A$236,0),MATCH('6-Packs of Cash Flow'!G$4,'Operating Assumptions &amp; Proj'!$184:$184,0))</f>
        <v>441</v>
      </c>
    </row>
    <row r="37" spans="1:7" s="70" customFormat="1" x14ac:dyDescent="0.2">
      <c r="A37" s="70" t="s">
        <v>779</v>
      </c>
      <c r="B37" s="101">
        <f t="shared" ref="B37:G37" si="9">SUM(B33:B36)</f>
        <v>-558</v>
      </c>
      <c r="C37" s="101">
        <f t="shared" si="9"/>
        <v>-716</v>
      </c>
      <c r="D37" s="101">
        <f t="shared" si="9"/>
        <v>-1164</v>
      </c>
      <c r="E37" s="101">
        <f t="shared" si="9"/>
        <v>-6</v>
      </c>
      <c r="F37" s="101">
        <f t="shared" si="9"/>
        <v>-645</v>
      </c>
      <c r="G37" s="101">
        <f t="shared" si="9"/>
        <v>715</v>
      </c>
    </row>
    <row r="38" spans="1:7" s="70" customFormat="1" x14ac:dyDescent="0.2">
      <c r="A38" s="70" t="s">
        <v>780</v>
      </c>
      <c r="B38" s="101">
        <f t="shared" ref="B38:G38" si="10">SUM(B32,B37)</f>
        <v>2398</v>
      </c>
      <c r="C38" s="101">
        <f t="shared" si="10"/>
        <v>6171</v>
      </c>
      <c r="D38" s="101">
        <f t="shared" si="10"/>
        <v>-1735</v>
      </c>
      <c r="E38" s="101">
        <f t="shared" si="10"/>
        <v>-706</v>
      </c>
      <c r="F38" s="101">
        <f t="shared" si="10"/>
        <v>-1700</v>
      </c>
      <c r="G38" s="101">
        <f t="shared" si="10"/>
        <v>-441</v>
      </c>
    </row>
    <row r="39" spans="1:7" x14ac:dyDescent="0.2">
      <c r="B39" s="75"/>
      <c r="C39" s="75"/>
      <c r="D39" s="75"/>
      <c r="E39" s="75"/>
      <c r="F39" s="75"/>
      <c r="G39" s="75"/>
    </row>
    <row r="40" spans="1:7" x14ac:dyDescent="0.2">
      <c r="A40" s="155" t="s">
        <v>302</v>
      </c>
      <c r="B40" s="75">
        <f>INDEX('Operating Assumptions &amp; Proj'!$A$184:$K$236,MATCH('6-Packs of Cash Flow'!$A40,'Operating Assumptions &amp; Proj'!$A$184:$A$236,0),MATCH('6-Packs of Cash Flow'!B$4,'Operating Assumptions &amp; Proj'!$184:$184,0))</f>
        <v>0</v>
      </c>
      <c r="C40" s="75">
        <f>INDEX('Operating Assumptions &amp; Proj'!$A$184:$K$236,MATCH('6-Packs of Cash Flow'!$A40,'Operating Assumptions &amp; Proj'!$A$184:$A$236,0),MATCH('6-Packs of Cash Flow'!C$4,'Operating Assumptions &amp; Proj'!$184:$184,0))</f>
        <v>0</v>
      </c>
      <c r="D40" s="75">
        <f>INDEX('Operating Assumptions &amp; Proj'!$A$184:$K$236,MATCH('6-Packs of Cash Flow'!$A40,'Operating Assumptions &amp; Proj'!$A$184:$A$236,0),MATCH('6-Packs of Cash Flow'!D$4,'Operating Assumptions &amp; Proj'!$184:$184,0))</f>
        <v>0</v>
      </c>
      <c r="E40" s="75">
        <f>INDEX('Operating Assumptions &amp; Proj'!$A$184:$K$236,MATCH('6-Packs of Cash Flow'!$A40,'Operating Assumptions &amp; Proj'!$A$184:$A$236,0),MATCH('6-Packs of Cash Flow'!E$4,'Operating Assumptions &amp; Proj'!$184:$184,0))</f>
        <v>0</v>
      </c>
      <c r="F40" s="75">
        <f>INDEX('Operating Assumptions &amp; Proj'!$A$184:$K$236,MATCH('6-Packs of Cash Flow'!$A40,'Operating Assumptions &amp; Proj'!$A$184:$A$236,0),MATCH('6-Packs of Cash Flow'!F$4,'Operating Assumptions &amp; Proj'!$184:$184,0))</f>
        <v>0</v>
      </c>
      <c r="G40" s="75">
        <f>INDEX('Operating Assumptions &amp; Proj'!$A$184:$K$236,MATCH('6-Packs of Cash Flow'!$A40,'Operating Assumptions &amp; Proj'!$A$184:$A$236,0),MATCH('6-Packs of Cash Flow'!G$4,'Operating Assumptions &amp; Proj'!$184:$184,0))</f>
        <v>0</v>
      </c>
    </row>
    <row r="41" spans="1:7" x14ac:dyDescent="0.2">
      <c r="A41" s="155" t="s">
        <v>303</v>
      </c>
      <c r="B41" s="75">
        <f>INDEX('Operating Assumptions &amp; Proj'!$A$184:$K$236,MATCH('6-Packs of Cash Flow'!$A41,'Operating Assumptions &amp; Proj'!$A$184:$A$236,0),MATCH('6-Packs of Cash Flow'!B$4,'Operating Assumptions &amp; Proj'!$184:$184,0))</f>
        <v>1272</v>
      </c>
      <c r="C41" s="75">
        <f>INDEX('Operating Assumptions &amp; Proj'!$A$184:$K$236,MATCH('6-Packs of Cash Flow'!$A41,'Operating Assumptions &amp; Proj'!$A$184:$A$236,0),MATCH('6-Packs of Cash Flow'!C$4,'Operating Assumptions &amp; Proj'!$184:$184,0))</f>
        <v>1098</v>
      </c>
      <c r="D41" s="75">
        <f>INDEX('Operating Assumptions &amp; Proj'!$A$184:$K$236,MATCH('6-Packs of Cash Flow'!$A41,'Operating Assumptions &amp; Proj'!$A$184:$A$236,0),MATCH('6-Packs of Cash Flow'!D$4,'Operating Assumptions &amp; Proj'!$184:$184,0))</f>
        <v>394</v>
      </c>
      <c r="E41" s="75">
        <f>INDEX('Operating Assumptions &amp; Proj'!$A$184:$K$236,MATCH('6-Packs of Cash Flow'!$A41,'Operating Assumptions &amp; Proj'!$A$184:$A$236,0),MATCH('6-Packs of Cash Flow'!E$4,'Operating Assumptions &amp; Proj'!$184:$184,0))</f>
        <v>0</v>
      </c>
      <c r="F41" s="75">
        <f>INDEX('Operating Assumptions &amp; Proj'!$A$184:$K$236,MATCH('6-Packs of Cash Flow'!$A41,'Operating Assumptions &amp; Proj'!$A$184:$A$236,0),MATCH('6-Packs of Cash Flow'!F$4,'Operating Assumptions &amp; Proj'!$184:$184,0))</f>
        <v>1232</v>
      </c>
      <c r="G41" s="75">
        <f>INDEX('Operating Assumptions &amp; Proj'!$A$184:$K$236,MATCH('6-Packs of Cash Flow'!$A41,'Operating Assumptions &amp; Proj'!$A$184:$A$236,0),MATCH('6-Packs of Cash Flow'!G$4,'Operating Assumptions &amp; Proj'!$184:$184,0))</f>
        <v>462</v>
      </c>
    </row>
    <row r="42" spans="1:7" x14ac:dyDescent="0.2">
      <c r="A42" s="155" t="s">
        <v>305</v>
      </c>
      <c r="B42" s="75">
        <f>INDEX('Operating Assumptions &amp; Proj'!$A$184:$K$236,MATCH('6-Packs of Cash Flow'!$A42,'Operating Assumptions &amp; Proj'!$A$184:$A$236,0),MATCH('6-Packs of Cash Flow'!B$4,'Operating Assumptions &amp; Proj'!$184:$184,0))</f>
        <v>0</v>
      </c>
      <c r="C42" s="75">
        <f>INDEX('Operating Assumptions &amp; Proj'!$A$184:$K$236,MATCH('6-Packs of Cash Flow'!$A42,'Operating Assumptions &amp; Proj'!$A$184:$A$236,0),MATCH('6-Packs of Cash Flow'!C$4,'Operating Assumptions &amp; Proj'!$184:$184,0))</f>
        <v>0</v>
      </c>
      <c r="D42" s="75">
        <f>INDEX('Operating Assumptions &amp; Proj'!$A$184:$K$236,MATCH('6-Packs of Cash Flow'!$A42,'Operating Assumptions &amp; Proj'!$A$184:$A$236,0),MATCH('6-Packs of Cash Flow'!D$4,'Operating Assumptions &amp; Proj'!$184:$184,0))</f>
        <v>0</v>
      </c>
      <c r="E42" s="75">
        <f>INDEX('Operating Assumptions &amp; Proj'!$A$184:$K$236,MATCH('6-Packs of Cash Flow'!$A42,'Operating Assumptions &amp; Proj'!$A$184:$A$236,0),MATCH('6-Packs of Cash Flow'!E$4,'Operating Assumptions &amp; Proj'!$184:$184,0))</f>
        <v>0</v>
      </c>
      <c r="F42" s="75">
        <f>INDEX('Operating Assumptions &amp; Proj'!$A$184:$K$236,MATCH('6-Packs of Cash Flow'!$A42,'Operating Assumptions &amp; Proj'!$A$184:$A$236,0),MATCH('6-Packs of Cash Flow'!F$4,'Operating Assumptions &amp; Proj'!$184:$184,0))</f>
        <v>0</v>
      </c>
      <c r="G42" s="75">
        <f>INDEX('Operating Assumptions &amp; Proj'!$A$184:$K$236,MATCH('6-Packs of Cash Flow'!$A42,'Operating Assumptions &amp; Proj'!$A$184:$A$236,0),MATCH('6-Packs of Cash Flow'!G$4,'Operating Assumptions &amp; Proj'!$184:$184,0))</f>
        <v>0</v>
      </c>
    </row>
    <row r="43" spans="1:7" x14ac:dyDescent="0.2">
      <c r="A43" s="155" t="s">
        <v>306</v>
      </c>
      <c r="B43" s="75">
        <f>INDEX('Operating Assumptions &amp; Proj'!$A$184:$K$236,MATCH('6-Packs of Cash Flow'!$A43,'Operating Assumptions &amp; Proj'!$A$184:$A$236,0),MATCH('6-Packs of Cash Flow'!B$4,'Operating Assumptions &amp; Proj'!$184:$184,0))</f>
        <v>-2390</v>
      </c>
      <c r="C43" s="75">
        <f>INDEX('Operating Assumptions &amp; Proj'!$A$184:$K$236,MATCH('6-Packs of Cash Flow'!$A43,'Operating Assumptions &amp; Proj'!$A$184:$A$236,0),MATCH('6-Packs of Cash Flow'!C$4,'Operating Assumptions &amp; Proj'!$184:$184,0))</f>
        <v>-2435</v>
      </c>
      <c r="D43" s="75">
        <f>INDEX('Operating Assumptions &amp; Proj'!$A$184:$K$236,MATCH('6-Packs of Cash Flow'!$A43,'Operating Assumptions &amp; Proj'!$A$184:$A$236,0),MATCH('6-Packs of Cash Flow'!D$4,'Operating Assumptions &amp; Proj'!$184:$184,0))</f>
        <v>-1352</v>
      </c>
      <c r="E43" s="75">
        <f>INDEX('Operating Assumptions &amp; Proj'!$A$184:$K$236,MATCH('6-Packs of Cash Flow'!$A43,'Operating Assumptions &amp; Proj'!$A$184:$A$236,0),MATCH('6-Packs of Cash Flow'!E$4,'Operating Assumptions &amp; Proj'!$184:$184,0))</f>
        <v>-1302</v>
      </c>
      <c r="F43" s="75">
        <f>INDEX('Operating Assumptions &amp; Proj'!$A$184:$K$236,MATCH('6-Packs of Cash Flow'!$A43,'Operating Assumptions &amp; Proj'!$A$184:$A$236,0),MATCH('6-Packs of Cash Flow'!F$4,'Operating Assumptions &amp; Proj'!$184:$184,0))</f>
        <v>-1402</v>
      </c>
      <c r="G43" s="75">
        <f>INDEX('Operating Assumptions &amp; Proj'!$A$184:$K$236,MATCH('6-Packs of Cash Flow'!$A43,'Operating Assumptions &amp; Proj'!$A$184:$A$236,0),MATCH('6-Packs of Cash Flow'!G$4,'Operating Assumptions &amp; Proj'!$184:$184,0))</f>
        <v>-1411</v>
      </c>
    </row>
    <row r="44" spans="1:7" s="70" customFormat="1" x14ac:dyDescent="0.2">
      <c r="A44" s="70" t="s">
        <v>781</v>
      </c>
      <c r="B44" s="101">
        <f t="shared" ref="B44:G44" si="11">SUM(B40:B43)</f>
        <v>-1118</v>
      </c>
      <c r="C44" s="101">
        <f t="shared" si="11"/>
        <v>-1337</v>
      </c>
      <c r="D44" s="101">
        <f t="shared" si="11"/>
        <v>-958</v>
      </c>
      <c r="E44" s="101">
        <f t="shared" si="11"/>
        <v>-1302</v>
      </c>
      <c r="F44" s="101">
        <f t="shared" si="11"/>
        <v>-170</v>
      </c>
      <c r="G44" s="101">
        <f t="shared" si="11"/>
        <v>-949</v>
      </c>
    </row>
    <row r="45" spans="1:7" x14ac:dyDescent="0.2">
      <c r="A45" s="155" t="s">
        <v>308</v>
      </c>
      <c r="B45" s="75">
        <f>INDEX('Operating Assumptions &amp; Proj'!$A$184:$K$236,MATCH('6-Packs of Cash Flow'!$A45,'Operating Assumptions &amp; Proj'!$A$184:$A$236,0),MATCH('6-Packs of Cash Flow'!B$4,'Operating Assumptions &amp; Proj'!$184:$184,0))</f>
        <v>0</v>
      </c>
      <c r="C45" s="75">
        <f>INDEX('Operating Assumptions &amp; Proj'!$A$184:$K$236,MATCH('6-Packs of Cash Flow'!$A45,'Operating Assumptions &amp; Proj'!$A$184:$A$236,0),MATCH('6-Packs of Cash Flow'!C$4,'Operating Assumptions &amp; Proj'!$184:$184,0))</f>
        <v>0</v>
      </c>
      <c r="D45" s="75">
        <f>INDEX('Operating Assumptions &amp; Proj'!$A$184:$K$236,MATCH('6-Packs of Cash Flow'!$A45,'Operating Assumptions &amp; Proj'!$A$184:$A$236,0),MATCH('6-Packs of Cash Flow'!D$4,'Operating Assumptions &amp; Proj'!$184:$184,0))</f>
        <v>0</v>
      </c>
      <c r="E45" s="75">
        <f>INDEX('Operating Assumptions &amp; Proj'!$A$184:$K$236,MATCH('6-Packs of Cash Flow'!$A45,'Operating Assumptions &amp; Proj'!$A$184:$A$236,0),MATCH('6-Packs of Cash Flow'!E$4,'Operating Assumptions &amp; Proj'!$184:$184,0))</f>
        <v>0</v>
      </c>
      <c r="F45" s="75">
        <f>INDEX('Operating Assumptions &amp; Proj'!$A$184:$K$236,MATCH('6-Packs of Cash Flow'!$A45,'Operating Assumptions &amp; Proj'!$A$184:$A$236,0),MATCH('6-Packs of Cash Flow'!F$4,'Operating Assumptions &amp; Proj'!$184:$184,0))</f>
        <v>0</v>
      </c>
      <c r="G45" s="75">
        <f>INDEX('Operating Assumptions &amp; Proj'!$A$184:$K$236,MATCH('6-Packs of Cash Flow'!$A45,'Operating Assumptions &amp; Proj'!$A$184:$A$236,0),MATCH('6-Packs of Cash Flow'!G$4,'Operating Assumptions &amp; Proj'!$184:$184,0))</f>
        <v>0</v>
      </c>
    </row>
    <row r="46" spans="1:7" x14ac:dyDescent="0.2">
      <c r="A46" s="155" t="s">
        <v>309</v>
      </c>
      <c r="B46" s="75">
        <f>INDEX('Operating Assumptions &amp; Proj'!$A$184:$K$236,MATCH('6-Packs of Cash Flow'!$A46,'Operating Assumptions &amp; Proj'!$A$184:$A$236,0),MATCH('6-Packs of Cash Flow'!B$4,'Operating Assumptions &amp; Proj'!$184:$184,0))</f>
        <v>-149</v>
      </c>
      <c r="C46" s="75">
        <f>INDEX('Operating Assumptions &amp; Proj'!$A$184:$K$236,MATCH('6-Packs of Cash Flow'!$A46,'Operating Assumptions &amp; Proj'!$A$184:$A$236,0),MATCH('6-Packs of Cash Flow'!C$4,'Operating Assumptions &amp; Proj'!$184:$184,0))</f>
        <v>-66</v>
      </c>
      <c r="D46" s="75">
        <f>INDEX('Operating Assumptions &amp; Proj'!$A$184:$K$236,MATCH('6-Packs of Cash Flow'!$A46,'Operating Assumptions &amp; Proj'!$A$184:$A$236,0),MATCH('6-Packs of Cash Flow'!D$4,'Operating Assumptions &amp; Proj'!$184:$184,0))</f>
        <v>-422</v>
      </c>
      <c r="E46" s="75">
        <f>INDEX('Operating Assumptions &amp; Proj'!$A$184:$K$236,MATCH('6-Packs of Cash Flow'!$A46,'Operating Assumptions &amp; Proj'!$A$184:$A$236,0),MATCH('6-Packs of Cash Flow'!E$4,'Operating Assumptions &amp; Proj'!$184:$184,0))</f>
        <v>-867</v>
      </c>
      <c r="F46" s="75">
        <f>INDEX('Operating Assumptions &amp; Proj'!$A$184:$K$236,MATCH('6-Packs of Cash Flow'!$A46,'Operating Assumptions &amp; Proj'!$A$184:$A$236,0),MATCH('6-Packs of Cash Flow'!F$4,'Operating Assumptions &amp; Proj'!$184:$184,0))</f>
        <v>-845</v>
      </c>
      <c r="G46" s="75">
        <f>INDEX('Operating Assumptions &amp; Proj'!$A$184:$K$236,MATCH('6-Packs of Cash Flow'!$A46,'Operating Assumptions &amp; Proj'!$A$184:$A$236,0),MATCH('6-Packs of Cash Flow'!G$4,'Operating Assumptions &amp; Proj'!$184:$184,0))</f>
        <v>-1070</v>
      </c>
    </row>
    <row r="47" spans="1:7" x14ac:dyDescent="0.2">
      <c r="A47" s="155" t="s">
        <v>310</v>
      </c>
      <c r="B47" s="75">
        <f>INDEX('Operating Assumptions &amp; Proj'!$A$184:$K$236,MATCH('6-Packs of Cash Flow'!$A47,'Operating Assumptions &amp; Proj'!$A$184:$A$236,0),MATCH('6-Packs of Cash Flow'!B$4,'Operating Assumptions &amp; Proj'!$184:$184,0))</f>
        <v>-656</v>
      </c>
      <c r="C47" s="75">
        <f>INDEX('Operating Assumptions &amp; Proj'!$A$184:$K$236,MATCH('6-Packs of Cash Flow'!$A47,'Operating Assumptions &amp; Proj'!$A$184:$A$236,0),MATCH('6-Packs of Cash Flow'!C$4,'Operating Assumptions &amp; Proj'!$184:$184,0))</f>
        <v>-910</v>
      </c>
      <c r="D47" s="75">
        <f>INDEX('Operating Assumptions &amp; Proj'!$A$184:$K$236,MATCH('6-Packs of Cash Flow'!$A47,'Operating Assumptions &amp; Proj'!$A$184:$A$236,0),MATCH('6-Packs of Cash Flow'!D$4,'Operating Assumptions &amp; Proj'!$184:$184,0))</f>
        <v>-704</v>
      </c>
      <c r="E47" s="75">
        <f>INDEX('Operating Assumptions &amp; Proj'!$A$184:$K$236,MATCH('6-Packs of Cash Flow'!$A47,'Operating Assumptions &amp; Proj'!$A$184:$A$236,0),MATCH('6-Packs of Cash Flow'!E$4,'Operating Assumptions &amp; Proj'!$184:$184,0))</f>
        <v>-858</v>
      </c>
      <c r="F47" s="75">
        <f>INDEX('Operating Assumptions &amp; Proj'!$A$184:$K$236,MATCH('6-Packs of Cash Flow'!$A47,'Operating Assumptions &amp; Proj'!$A$184:$A$236,0),MATCH('6-Packs of Cash Flow'!F$4,'Operating Assumptions &amp; Proj'!$184:$184,0))</f>
        <v>-777</v>
      </c>
      <c r="G47" s="75">
        <f>INDEX('Operating Assumptions &amp; Proj'!$A$184:$K$236,MATCH('6-Packs of Cash Flow'!$A47,'Operating Assumptions &amp; Proj'!$A$184:$A$236,0),MATCH('6-Packs of Cash Flow'!G$4,'Operating Assumptions &amp; Proj'!$184:$184,0))</f>
        <v>-864</v>
      </c>
    </row>
    <row r="48" spans="1:7" x14ac:dyDescent="0.2">
      <c r="A48" s="155" t="s">
        <v>312</v>
      </c>
      <c r="B48" s="75">
        <f>INDEX('Operating Assumptions &amp; Proj'!$A$184:$K$236,MATCH('6-Packs of Cash Flow'!$A48,'Operating Assumptions &amp; Proj'!$A$184:$A$236,0),MATCH('6-Packs of Cash Flow'!B$4,'Operating Assumptions &amp; Proj'!$184:$184,0))</f>
        <v>0</v>
      </c>
      <c r="C48" s="75">
        <f>INDEX('Operating Assumptions &amp; Proj'!$A$184:$K$236,MATCH('6-Packs of Cash Flow'!$A48,'Operating Assumptions &amp; Proj'!$A$184:$A$236,0),MATCH('6-Packs of Cash Flow'!C$4,'Operating Assumptions &amp; Proj'!$184:$184,0))</f>
        <v>-4948</v>
      </c>
      <c r="D48" s="75">
        <f>INDEX('Operating Assumptions &amp; Proj'!$A$184:$K$236,MATCH('6-Packs of Cash Flow'!$A48,'Operating Assumptions &amp; Proj'!$A$184:$A$236,0),MATCH('6-Packs of Cash Flow'!D$4,'Operating Assumptions &amp; Proj'!$184:$184,0))</f>
        <v>-27</v>
      </c>
      <c r="E48" s="75">
        <f>INDEX('Operating Assumptions &amp; Proj'!$A$184:$K$236,MATCH('6-Packs of Cash Flow'!$A48,'Operating Assumptions &amp; Proj'!$A$184:$A$236,0),MATCH('6-Packs of Cash Flow'!E$4,'Operating Assumptions &amp; Proj'!$184:$184,0))</f>
        <v>-1</v>
      </c>
      <c r="F48" s="75">
        <f>INDEX('Operating Assumptions &amp; Proj'!$A$184:$K$236,MATCH('6-Packs of Cash Flow'!$A48,'Operating Assumptions &amp; Proj'!$A$184:$A$236,0),MATCH('6-Packs of Cash Flow'!F$4,'Operating Assumptions &amp; Proj'!$184:$184,0))</f>
        <v>-1</v>
      </c>
      <c r="G48" s="75">
        <f>INDEX('Operating Assumptions &amp; Proj'!$A$184:$K$236,MATCH('6-Packs of Cash Flow'!$A48,'Operating Assumptions &amp; Proj'!$A$184:$A$236,0),MATCH('6-Packs of Cash Flow'!G$4,'Operating Assumptions &amp; Proj'!$184:$184,0))</f>
        <v>0</v>
      </c>
    </row>
    <row r="49" spans="1:8" x14ac:dyDescent="0.2">
      <c r="A49" s="155" t="s">
        <v>313</v>
      </c>
      <c r="B49" s="75">
        <f>INDEX('Operating Assumptions &amp; Proj'!$A$184:$K$236,MATCH('6-Packs of Cash Flow'!$A49,'Operating Assumptions &amp; Proj'!$A$184:$A$236,0),MATCH('6-Packs of Cash Flow'!B$4,'Operating Assumptions &amp; Proj'!$184:$184,0))</f>
        <v>-17</v>
      </c>
      <c r="C49" s="75">
        <f>INDEX('Operating Assumptions &amp; Proj'!$A$184:$K$236,MATCH('6-Packs of Cash Flow'!$A49,'Operating Assumptions &amp; Proj'!$A$184:$A$236,0),MATCH('6-Packs of Cash Flow'!C$4,'Operating Assumptions &amp; Proj'!$184:$184,0))</f>
        <v>-580</v>
      </c>
      <c r="D49" s="75">
        <f>INDEX('Operating Assumptions &amp; Proj'!$A$184:$K$236,MATCH('6-Packs of Cash Flow'!$A49,'Operating Assumptions &amp; Proj'!$A$184:$A$236,0),MATCH('6-Packs of Cash Flow'!D$4,'Operating Assumptions &amp; Proj'!$184:$184,0))</f>
        <v>-123</v>
      </c>
      <c r="E49" s="75">
        <f>INDEX('Operating Assumptions &amp; Proj'!$A$184:$K$236,MATCH('6-Packs of Cash Flow'!$A49,'Operating Assumptions &amp; Proj'!$A$184:$A$236,0),MATCH('6-Packs of Cash Flow'!E$4,'Operating Assumptions &amp; Proj'!$184:$184,0))</f>
        <v>-160</v>
      </c>
      <c r="F49" s="75">
        <f>INDEX('Operating Assumptions &amp; Proj'!$A$184:$K$236,MATCH('6-Packs of Cash Flow'!$A49,'Operating Assumptions &amp; Proj'!$A$184:$A$236,0),MATCH('6-Packs of Cash Flow'!F$4,'Operating Assumptions &amp; Proj'!$184:$184,0))</f>
        <v>-66</v>
      </c>
      <c r="G49" s="75">
        <f>INDEX('Operating Assumptions &amp; Proj'!$A$184:$K$236,MATCH('6-Packs of Cash Flow'!$A49,'Operating Assumptions &amp; Proj'!$A$184:$A$236,0),MATCH('6-Packs of Cash Flow'!G$4,'Operating Assumptions &amp; Proj'!$184:$184,0))</f>
        <v>-60</v>
      </c>
    </row>
    <row r="50" spans="1:8" s="70" customFormat="1" x14ac:dyDescent="0.2">
      <c r="A50" s="14" t="s">
        <v>782</v>
      </c>
      <c r="B50" s="101">
        <f t="shared" ref="B50:G50" si="12">SUM(B45:B49)</f>
        <v>-822</v>
      </c>
      <c r="C50" s="101">
        <f t="shared" si="12"/>
        <v>-6504</v>
      </c>
      <c r="D50" s="101">
        <f t="shared" si="12"/>
        <v>-1276</v>
      </c>
      <c r="E50" s="101">
        <f t="shared" si="12"/>
        <v>-1886</v>
      </c>
      <c r="F50" s="101">
        <f t="shared" si="12"/>
        <v>-1689</v>
      </c>
      <c r="G50" s="101">
        <f t="shared" si="12"/>
        <v>-1994</v>
      </c>
    </row>
    <row r="51" spans="1:8" s="70" customFormat="1" x14ac:dyDescent="0.2">
      <c r="A51" s="14" t="s">
        <v>783</v>
      </c>
      <c r="B51" s="101">
        <f t="shared" ref="B51" si="13">SUM(B44,B50)</f>
        <v>-1940</v>
      </c>
      <c r="C51" s="101">
        <f>SUM(C44,C50)</f>
        <v>-7841</v>
      </c>
      <c r="D51" s="101">
        <f t="shared" ref="D51" si="14">SUM(D44,D50)</f>
        <v>-2234</v>
      </c>
      <c r="E51" s="101">
        <f t="shared" ref="E51" si="15">SUM(E44,E50)</f>
        <v>-3188</v>
      </c>
      <c r="F51" s="101">
        <f t="shared" ref="F51" si="16">SUM(F44,F50)</f>
        <v>-1859</v>
      </c>
      <c r="G51" s="101">
        <f t="shared" ref="G51" si="17">SUM(G44,G50)</f>
        <v>-2943</v>
      </c>
    </row>
    <row r="52" spans="1:8" x14ac:dyDescent="0.2">
      <c r="B52" s="75"/>
      <c r="C52" s="75"/>
      <c r="D52" s="75"/>
      <c r="E52" s="75"/>
      <c r="F52" s="75"/>
      <c r="G52" s="75"/>
    </row>
    <row r="53" spans="1:8" x14ac:dyDescent="0.2">
      <c r="A53" s="5" t="s">
        <v>315</v>
      </c>
      <c r="B53" s="75">
        <f>INDEX('Operating Assumptions &amp; Proj'!$A$184:$K$236,MATCH('6-Packs of Cash Flow'!$A53,'Operating Assumptions &amp; Proj'!$A$184:$A$236,0),MATCH('6-Packs of Cash Flow'!B$4,'Operating Assumptions &amp; Proj'!$184:$184,0))</f>
        <v>-42</v>
      </c>
      <c r="C53" s="75">
        <f>INDEX('Operating Assumptions &amp; Proj'!$A$184:$K$236,MATCH('6-Packs of Cash Flow'!$A53,'Operating Assumptions &amp; Proj'!$A$184:$A$236,0),MATCH('6-Packs of Cash Flow'!C$4,'Operating Assumptions &amp; Proj'!$184:$184,0))</f>
        <v>8</v>
      </c>
      <c r="D53" s="75">
        <f>INDEX('Operating Assumptions &amp; Proj'!$A$184:$K$236,MATCH('6-Packs of Cash Flow'!$A53,'Operating Assumptions &amp; Proj'!$A$184:$A$236,0),MATCH('6-Packs of Cash Flow'!D$4,'Operating Assumptions &amp; Proj'!$184:$184,0))</f>
        <v>12</v>
      </c>
      <c r="E53" s="75">
        <f>INDEX('Operating Assumptions &amp; Proj'!$A$184:$K$236,MATCH('6-Packs of Cash Flow'!$A53,'Operating Assumptions &amp; Proj'!$A$184:$A$236,0),MATCH('6-Packs of Cash Flow'!E$4,'Operating Assumptions &amp; Proj'!$184:$184,0))</f>
        <v>-34</v>
      </c>
      <c r="F53" s="75">
        <f>INDEX('Operating Assumptions &amp; Proj'!$A$184:$K$236,MATCH('6-Packs of Cash Flow'!$A53,'Operating Assumptions &amp; Proj'!$A$184:$A$236,0),MATCH('6-Packs of Cash Flow'!F$4,'Operating Assumptions &amp; Proj'!$184:$184,0))</f>
        <v>29</v>
      </c>
      <c r="G53" s="75">
        <f>INDEX('Operating Assumptions &amp; Proj'!$A$184:$K$236,MATCH('6-Packs of Cash Flow'!$A53,'Operating Assumptions &amp; Proj'!$A$184:$A$236,0),MATCH('6-Packs of Cash Flow'!G$4,'Operating Assumptions &amp; Proj'!$184:$184,0))</f>
        <v>-13</v>
      </c>
    </row>
    <row r="54" spans="1:8" x14ac:dyDescent="0.2">
      <c r="A54" s="5" t="s">
        <v>316</v>
      </c>
      <c r="B54" s="75">
        <f>INDEX('Operating Assumptions &amp; Proj'!$A$184:$K$236,MATCH('6-Packs of Cash Flow'!$A54,'Operating Assumptions &amp; Proj'!$A$184:$A$236,0),MATCH('6-Packs of Cash Flow'!B$4,'Operating Assumptions &amp; Proj'!$184:$184,0))</f>
        <v>0</v>
      </c>
      <c r="C54" s="75">
        <f>INDEX('Operating Assumptions &amp; Proj'!$A$184:$K$236,MATCH('6-Packs of Cash Flow'!$A54,'Operating Assumptions &amp; Proj'!$A$184:$A$236,0),MATCH('6-Packs of Cash Flow'!C$4,'Operating Assumptions &amp; Proj'!$184:$184,0))</f>
        <v>7</v>
      </c>
      <c r="D54" s="75">
        <f>INDEX('Operating Assumptions &amp; Proj'!$A$184:$K$236,MATCH('6-Packs of Cash Flow'!$A54,'Operating Assumptions &amp; Proj'!$A$184:$A$236,0),MATCH('6-Packs of Cash Flow'!D$4,'Operating Assumptions &amp; Proj'!$184:$184,0))</f>
        <v>0</v>
      </c>
      <c r="E54" s="75">
        <f>INDEX('Operating Assumptions &amp; Proj'!$A$184:$K$236,MATCH('6-Packs of Cash Flow'!$A54,'Operating Assumptions &amp; Proj'!$A$184:$A$236,0),MATCH('6-Packs of Cash Flow'!E$4,'Operating Assumptions &amp; Proj'!$184:$184,0))</f>
        <v>0</v>
      </c>
      <c r="F54" s="75">
        <f>INDEX('Operating Assumptions &amp; Proj'!$A$184:$K$236,MATCH('6-Packs of Cash Flow'!$A54,'Operating Assumptions &amp; Proj'!$A$184:$A$236,0),MATCH('6-Packs of Cash Flow'!F$4,'Operating Assumptions &amp; Proj'!$184:$184,0))</f>
        <v>-346</v>
      </c>
      <c r="G54" s="75">
        <f>INDEX('Operating Assumptions &amp; Proj'!$A$184:$K$236,MATCH('6-Packs of Cash Flow'!$A54,'Operating Assumptions &amp; Proj'!$A$184:$A$236,0),MATCH('6-Packs of Cash Flow'!G$4,'Operating Assumptions &amp; Proj'!$184:$184,0))</f>
        <v>0</v>
      </c>
    </row>
    <row r="55" spans="1:8" s="70" customFormat="1" x14ac:dyDescent="0.2">
      <c r="A55" s="70" t="s">
        <v>784</v>
      </c>
      <c r="B55" s="101">
        <f t="shared" ref="B55:G55" si="18">SUM(B26,B38,B51,B53:B54)</f>
        <v>464</v>
      </c>
      <c r="C55" s="101">
        <f t="shared" si="18"/>
        <v>-1053</v>
      </c>
      <c r="D55" s="101">
        <f t="shared" si="18"/>
        <v>-200</v>
      </c>
      <c r="E55" s="101">
        <f t="shared" si="18"/>
        <v>-206</v>
      </c>
      <c r="F55" s="101">
        <f t="shared" si="18"/>
        <v>-37</v>
      </c>
      <c r="G55" s="101">
        <f t="shared" si="18"/>
        <v>-475</v>
      </c>
    </row>
    <row r="56" spans="1:8" x14ac:dyDescent="0.2">
      <c r="B56" s="75"/>
      <c r="C56" s="75"/>
      <c r="D56" s="75"/>
      <c r="E56" s="75"/>
      <c r="F56" s="75"/>
      <c r="G56" s="75"/>
    </row>
    <row r="57" spans="1:8" x14ac:dyDescent="0.2">
      <c r="A57" s="71" t="s">
        <v>785</v>
      </c>
      <c r="B57" s="75"/>
      <c r="C57" s="75"/>
      <c r="D57" s="75"/>
      <c r="E57" s="75"/>
      <c r="F57" s="75"/>
      <c r="G57" s="75"/>
    </row>
    <row r="58" spans="1:8" x14ac:dyDescent="0.2">
      <c r="A58" s="5" t="s">
        <v>192</v>
      </c>
      <c r="B58" s="75"/>
      <c r="C58" s="75">
        <f>INDEX('Operating Assumptions &amp; Proj'!$A$105:$K$174,MATCH('6-Packs of Cash Flow'!$A58,'Operating Assumptions &amp; Proj'!$A$105:$A$174,0),MATCH('6-Packs of Cash Flow'!B$4,'Operating Assumptions &amp; Proj'!$105:$105,0))</f>
        <v>4137</v>
      </c>
      <c r="D58" s="75">
        <f>INDEX('Operating Assumptions &amp; Proj'!$A$105:$K$174,MATCH('6-Packs of Cash Flow'!$A58,'Operating Assumptions &amp; Proj'!$A$105:$A$174,0),MATCH('6-Packs of Cash Flow'!C$4,'Operating Assumptions &amp; Proj'!$105:$105,0))</f>
        <v>2510</v>
      </c>
      <c r="E58" s="75">
        <f>INDEX('Operating Assumptions &amp; Proj'!$A$105:$K$174,MATCH('6-Packs of Cash Flow'!$A58,'Operating Assumptions &amp; Proj'!$A$105:$A$174,0),MATCH('6-Packs of Cash Flow'!D$4,'Operating Assumptions &amp; Proj'!$105:$105,0))</f>
        <v>2345</v>
      </c>
      <c r="F58" s="75">
        <f>INDEX('Operating Assumptions &amp; Proj'!$A$105:$K$174,MATCH('6-Packs of Cash Flow'!$A58,'Operating Assumptions &amp; Proj'!$A$105:$A$174,0),MATCH('6-Packs of Cash Flow'!E$4,'Operating Assumptions &amp; Proj'!$105:$105,0))</f>
        <v>2465</v>
      </c>
      <c r="G58" s="75">
        <f>INDEX('Operating Assumptions &amp; Proj'!$A$105:$K$174,MATCH('6-Packs of Cash Flow'!$A58,'Operating Assumptions &amp; Proj'!$A$105:$A$174,0),MATCH('6-Packs of Cash Flow'!F$4,'Operating Assumptions &amp; Proj'!$105:$105,0))</f>
        <v>2340</v>
      </c>
    </row>
    <row r="59" spans="1:8" s="70" customFormat="1" x14ac:dyDescent="0.2">
      <c r="A59" s="70" t="s">
        <v>786</v>
      </c>
      <c r="B59" s="101"/>
      <c r="C59" s="101">
        <f t="shared" ref="C59:G59" si="19">C58</f>
        <v>4137</v>
      </c>
      <c r="D59" s="101">
        <f t="shared" si="19"/>
        <v>2510</v>
      </c>
      <c r="E59" s="101">
        <f t="shared" si="19"/>
        <v>2345</v>
      </c>
      <c r="F59" s="101">
        <f t="shared" si="19"/>
        <v>2465</v>
      </c>
      <c r="G59" s="101">
        <f t="shared" si="19"/>
        <v>2340</v>
      </c>
    </row>
    <row r="60" spans="1:8" x14ac:dyDescent="0.2">
      <c r="A60" s="70" t="s">
        <v>787</v>
      </c>
      <c r="B60" s="101">
        <f>B55+B59</f>
        <v>464</v>
      </c>
      <c r="C60" s="101">
        <f t="shared" ref="C60:D60" si="20">SUM(C55,C59)</f>
        <v>3084</v>
      </c>
      <c r="D60" s="101">
        <f t="shared" si="20"/>
        <v>2310</v>
      </c>
      <c r="E60" s="101">
        <f>SUM(E55,E59)</f>
        <v>2139</v>
      </c>
      <c r="F60" s="101">
        <f t="shared" ref="F60" si="21">SUM(F55,F59)</f>
        <v>2428</v>
      </c>
      <c r="G60" s="101">
        <f t="shared" ref="G60" si="22">SUM(G55,G59)</f>
        <v>1865</v>
      </c>
      <c r="H60" s="70"/>
    </row>
    <row r="61" spans="1:8" x14ac:dyDescent="0.2">
      <c r="B61" s="75"/>
      <c r="C61" s="75"/>
      <c r="D61" s="75"/>
      <c r="E61" s="75"/>
      <c r="F61" s="75"/>
      <c r="G61" s="75"/>
    </row>
    <row r="62" spans="1:8" x14ac:dyDescent="0.2">
      <c r="A62" s="156" t="s">
        <v>839</v>
      </c>
      <c r="B62" s="89"/>
      <c r="C62" s="89"/>
      <c r="D62" s="89"/>
      <c r="E62" s="89"/>
      <c r="F62" s="89"/>
      <c r="G62" s="89"/>
    </row>
    <row r="63" spans="1:8" x14ac:dyDescent="0.2">
      <c r="A63" s="157" t="s">
        <v>192</v>
      </c>
      <c r="B63" s="89">
        <f>INDEX('Operating Assumptions &amp; Proj'!$A$105:$K$179,MATCH('6-Packs of Cash Flow'!$A63,'Operating Assumptions &amp; Proj'!$A$105:$A$174,0),MATCH('6-Packs of Cash Flow'!B$4,'Operating Assumptions &amp; Proj'!$105:$105,0))</f>
        <v>4137</v>
      </c>
      <c r="C63" s="89">
        <f>INDEX('Operating Assumptions &amp; Proj'!$A$105:$K$179,MATCH('6-Packs of Cash Flow'!$A63,'Operating Assumptions &amp; Proj'!$A$105:$A$174,0),MATCH('6-Packs of Cash Flow'!C$4,'Operating Assumptions &amp; Proj'!$105:$105,0))</f>
        <v>2510</v>
      </c>
      <c r="D63" s="89">
        <f>INDEX('Operating Assumptions &amp; Proj'!$A$105:$K$179,MATCH('6-Packs of Cash Flow'!$A63,'Operating Assumptions &amp; Proj'!$A$105:$A$174,0),MATCH('6-Packs of Cash Flow'!D$4,'Operating Assumptions &amp; Proj'!$105:$105,0))</f>
        <v>2345</v>
      </c>
      <c r="E63" s="89">
        <f>INDEX('Operating Assumptions &amp; Proj'!$A$105:$K$179,MATCH('6-Packs of Cash Flow'!$A63,'Operating Assumptions &amp; Proj'!$A$105:$A$174,0),MATCH('6-Packs of Cash Flow'!E$4,'Operating Assumptions &amp; Proj'!$105:$105,0))</f>
        <v>2465</v>
      </c>
      <c r="F63" s="89">
        <f>INDEX('Operating Assumptions &amp; Proj'!$A$105:$K$179,MATCH('6-Packs of Cash Flow'!$A63,'Operating Assumptions &amp; Proj'!$A$105:$A$174,0),MATCH('6-Packs of Cash Flow'!F$4,'Operating Assumptions &amp; Proj'!$105:$105,0))</f>
        <v>2340</v>
      </c>
      <c r="G63" s="89">
        <f>INDEX('Operating Assumptions &amp; Proj'!$A$105:$K$179,MATCH('6-Packs of Cash Flow'!$A63,'Operating Assumptions &amp; Proj'!$A$105:$A$174,0),MATCH('6-Packs of Cash Flow'!G$4,'Operating Assumptions &amp; Proj'!$105:$105,0))</f>
        <v>2255</v>
      </c>
    </row>
    <row r="64" spans="1:8" s="70" customFormat="1" x14ac:dyDescent="0.2">
      <c r="A64" s="87" t="s">
        <v>788</v>
      </c>
      <c r="B64" s="158">
        <f t="shared" ref="B64:E64" si="23">B63</f>
        <v>4137</v>
      </c>
      <c r="C64" s="158">
        <f t="shared" si="23"/>
        <v>2510</v>
      </c>
      <c r="D64" s="158">
        <f t="shared" si="23"/>
        <v>2345</v>
      </c>
      <c r="E64" s="158">
        <f t="shared" si="23"/>
        <v>2465</v>
      </c>
      <c r="F64" s="158">
        <f>F63</f>
        <v>2340</v>
      </c>
      <c r="G64" s="158">
        <f t="shared" ref="G64" si="24">G63</f>
        <v>2255</v>
      </c>
    </row>
    <row r="65" spans="1:7" s="70" customFormat="1" x14ac:dyDescent="0.2">
      <c r="A65" s="87" t="s">
        <v>789</v>
      </c>
      <c r="B65" s="158">
        <f t="shared" ref="B65:G65" si="25">B60-B64</f>
        <v>-3673</v>
      </c>
      <c r="C65" s="158">
        <f t="shared" si="25"/>
        <v>574</v>
      </c>
      <c r="D65" s="158">
        <f t="shared" si="25"/>
        <v>-35</v>
      </c>
      <c r="E65" s="158">
        <f t="shared" si="25"/>
        <v>-326</v>
      </c>
      <c r="F65" s="158">
        <f t="shared" si="25"/>
        <v>88</v>
      </c>
      <c r="G65" s="158">
        <f t="shared" si="25"/>
        <v>-390</v>
      </c>
    </row>
    <row r="66" spans="1:7" x14ac:dyDescent="0.2">
      <c r="A66" s="88"/>
      <c r="B66" s="89"/>
      <c r="C66" s="89"/>
      <c r="D66" s="89"/>
      <c r="E66" s="89"/>
      <c r="F66" s="89"/>
      <c r="G66" s="89"/>
    </row>
    <row r="67" spans="1:7" x14ac:dyDescent="0.2">
      <c r="A67" s="156" t="s">
        <v>840</v>
      </c>
      <c r="B67" s="89"/>
      <c r="C67" s="89"/>
      <c r="D67" s="89"/>
      <c r="E67" s="89"/>
      <c r="F67" s="89"/>
      <c r="G67" s="89"/>
    </row>
    <row r="68" spans="1:7" x14ac:dyDescent="0.2">
      <c r="A68" s="157" t="s">
        <v>317</v>
      </c>
      <c r="B68" s="89">
        <f>INDEX('Operating Assumptions &amp; Proj'!$A$184:$K$236,MATCH('6-Packs of Cash Flow'!$A68,'Operating Assumptions &amp; Proj'!$A$184:$A$236,0),MATCH('6-Packs of Cash Flow'!B$4,'Operating Assumptions &amp; Proj'!$184:$184,0))</f>
        <v>464</v>
      </c>
      <c r="C68" s="89">
        <f>INDEX('Operating Assumptions &amp; Proj'!$A$184:$K$236,MATCH('6-Packs of Cash Flow'!$A68,'Operating Assumptions &amp; Proj'!$A$184:$A$236,0),MATCH('6-Packs of Cash Flow'!C$4,'Operating Assumptions &amp; Proj'!$184:$184,0))</f>
        <v>-1053</v>
      </c>
      <c r="D68" s="89">
        <f>INDEX('Operating Assumptions &amp; Proj'!$A$184:$K$236,MATCH('6-Packs of Cash Flow'!$A68,'Operating Assumptions &amp; Proj'!$A$184:$A$236,0),MATCH('6-Packs of Cash Flow'!D$4,'Operating Assumptions &amp; Proj'!$184:$184,0))</f>
        <v>-200</v>
      </c>
      <c r="E68" s="89">
        <f>INDEX('Operating Assumptions &amp; Proj'!$A$184:$K$236,MATCH('6-Packs of Cash Flow'!$A68,'Operating Assumptions &amp; Proj'!$A$184:$A$236,0),MATCH('6-Packs of Cash Flow'!E$4,'Operating Assumptions &amp; Proj'!$184:$184,0))</f>
        <v>-206</v>
      </c>
      <c r="F68" s="89">
        <f>INDEX('Operating Assumptions &amp; Proj'!$A$184:$K$236,MATCH('6-Packs of Cash Flow'!$A68,'Operating Assumptions &amp; Proj'!$A$184:$A$236,0),MATCH('6-Packs of Cash Flow'!F$4,'Operating Assumptions &amp; Proj'!$184:$184,0))</f>
        <v>-37</v>
      </c>
      <c r="G68" s="89">
        <f>INDEX('Operating Assumptions &amp; Proj'!$A$184:$K$236,MATCH('6-Packs of Cash Flow'!$A68,'Operating Assumptions &amp; Proj'!$A$184:$A$236,0),MATCH('6-Packs of Cash Flow'!G$4,'Operating Assumptions &amp; Proj'!$184:$184,0))</f>
        <v>-475</v>
      </c>
    </row>
    <row r="69" spans="1:7" x14ac:dyDescent="0.2">
      <c r="A69" s="87" t="str">
        <f>A55</f>
        <v>TOTAL CASH INFLOW / (OUTFLOW)</v>
      </c>
      <c r="B69" s="89">
        <f t="shared" ref="B69:G69" si="26">B55</f>
        <v>464</v>
      </c>
      <c r="C69" s="89">
        <f t="shared" si="26"/>
        <v>-1053</v>
      </c>
      <c r="D69" s="89">
        <f t="shared" si="26"/>
        <v>-200</v>
      </c>
      <c r="E69" s="89">
        <f t="shared" si="26"/>
        <v>-206</v>
      </c>
      <c r="F69" s="89">
        <f t="shared" si="26"/>
        <v>-37</v>
      </c>
      <c r="G69" s="89">
        <f t="shared" si="26"/>
        <v>-475</v>
      </c>
    </row>
    <row r="70" spans="1:7" x14ac:dyDescent="0.2">
      <c r="A70" s="87" t="s">
        <v>789</v>
      </c>
      <c r="B70" s="158">
        <f t="shared" ref="B70:G70" si="27">B69-B68</f>
        <v>0</v>
      </c>
      <c r="C70" s="158">
        <f t="shared" si="27"/>
        <v>0</v>
      </c>
      <c r="D70" s="158">
        <f t="shared" si="27"/>
        <v>0</v>
      </c>
      <c r="E70" s="158">
        <f t="shared" si="27"/>
        <v>0</v>
      </c>
      <c r="F70" s="158">
        <f t="shared" si="27"/>
        <v>0</v>
      </c>
      <c r="G70" s="158">
        <f t="shared" si="27"/>
        <v>0</v>
      </c>
    </row>
    <row r="72" spans="1:7" s="2" customFormat="1" x14ac:dyDescent="0.2">
      <c r="A72" s="190"/>
      <c r="B72" s="196"/>
      <c r="C72" s="196"/>
      <c r="D72" s="196"/>
      <c r="E72" s="196"/>
      <c r="F72" s="196"/>
      <c r="G72" s="196"/>
    </row>
  </sheetData>
  <pageMargins left="0.7" right="0.7" top="0.75" bottom="0.75" header="0.3" footer="0.3"/>
  <extLst>
    <ext xmlns:x14="http://schemas.microsoft.com/office/spreadsheetml/2009/9/main" uri="{05C60535-1F16-4fd2-B633-F4F36F0B64E0}">
      <x14:sparklineGroups xmlns:xm="http://schemas.microsoft.com/office/excel/2006/main">
        <x14:sparklineGroup displayEmptyCellsAs="gap" xr2:uid="{8B1700E9-1078-664F-AC16-2DB138230638}">
          <x14:colorSeries rgb="FF376092"/>
          <x14:colorNegative rgb="FFD00000"/>
          <x14:colorAxis rgb="FF000000"/>
          <x14:colorMarkers rgb="FFD00000"/>
          <x14:colorFirst rgb="FFD00000"/>
          <x14:colorLast rgb="FFD00000"/>
          <x14:colorHigh rgb="FFD00000"/>
          <x14:colorLow rgb="FFD00000"/>
          <x14:sparklines>
            <x14:sparkline>
              <xm:f>'6-Packs of Cash Flow'!B50:G50</xm:f>
              <xm:sqref>H50</xm:sqref>
            </x14:sparkline>
          </x14:sparklines>
        </x14:sparklineGroup>
        <x14:sparklineGroup displayEmptyCellsAs="gap" xr2:uid="{EB9989C9-BFF4-564E-BF7B-5BE7E905622B}">
          <x14:colorSeries rgb="FF376092"/>
          <x14:colorNegative rgb="FFD00000"/>
          <x14:colorAxis rgb="FF000000"/>
          <x14:colorMarkers rgb="FFD00000"/>
          <x14:colorFirst rgb="FFD00000"/>
          <x14:colorLast rgb="FFD00000"/>
          <x14:colorHigh rgb="FFD00000"/>
          <x14:colorLow rgb="FFD00000"/>
          <x14:sparklines>
            <x14:sparkline>
              <xm:f>'6-Packs of Cash Flow'!B51:G51</xm:f>
              <xm:sqref>H51</xm:sqref>
            </x14:sparkline>
          </x14:sparklines>
        </x14:sparklineGroup>
        <x14:sparklineGroup displayEmptyCellsAs="gap" xr2:uid="{8FF6841C-8F3B-8E47-947B-330EB3950B79}">
          <x14:colorSeries rgb="FF376092"/>
          <x14:colorNegative rgb="FFD00000"/>
          <x14:colorAxis rgb="FF000000"/>
          <x14:colorMarkers rgb="FFD00000"/>
          <x14:colorFirst rgb="FFD00000"/>
          <x14:colorLast rgb="FFD00000"/>
          <x14:colorHigh rgb="FFD00000"/>
          <x14:colorLow rgb="FFD00000"/>
          <x14:sparklines>
            <x14:sparkline>
              <xm:f>'6-Packs of Cash Flow'!B55:G55</xm:f>
              <xm:sqref>H55</xm:sqref>
            </x14:sparkline>
          </x14:sparklines>
        </x14:sparklineGroup>
        <x14:sparklineGroup displayEmptyCellsAs="gap" xr2:uid="{E1229C18-C79C-DC4C-B59F-1C61CF011BEE}">
          <x14:colorSeries rgb="FF376092"/>
          <x14:colorNegative rgb="FFD00000"/>
          <x14:colorAxis rgb="FF000000"/>
          <x14:colorMarkers rgb="FFD00000"/>
          <x14:colorFirst rgb="FFD00000"/>
          <x14:colorLast rgb="FFD00000"/>
          <x14:colorHigh rgb="FFD00000"/>
          <x14:colorLow rgb="FFD00000"/>
          <x14:sparklines>
            <x14:sparkline>
              <xm:f>'6-Packs of Cash Flow'!B44:G44</xm:f>
              <xm:sqref>H44</xm:sqref>
            </x14:sparkline>
          </x14:sparklines>
        </x14:sparklineGroup>
        <x14:sparklineGroup displayEmptyCellsAs="gap" xr2:uid="{5C52D089-114D-6144-96A7-8B60DC7B2504}">
          <x14:colorSeries rgb="FF376092"/>
          <x14:colorNegative rgb="FFD00000"/>
          <x14:colorAxis rgb="FF000000"/>
          <x14:colorMarkers rgb="FFD00000"/>
          <x14:colorFirst rgb="FFD00000"/>
          <x14:colorLast rgb="FFD00000"/>
          <x14:colorHigh rgb="FFD00000"/>
          <x14:colorLow rgb="FFD00000"/>
          <x14:sparklines>
            <x14:sparkline>
              <xm:f>'6-Packs of Cash Flow'!B38:G38</xm:f>
              <xm:sqref>H38</xm:sqref>
            </x14:sparkline>
          </x14:sparklines>
        </x14:sparklineGroup>
        <x14:sparklineGroup displayEmptyCellsAs="gap" xr2:uid="{391981DF-74D3-024A-9F2A-23FD6F4871D7}">
          <x14:colorSeries rgb="FF376092"/>
          <x14:colorNegative rgb="FFD00000"/>
          <x14:colorAxis rgb="FF000000"/>
          <x14:colorMarkers rgb="FFD00000"/>
          <x14:colorFirst rgb="FFD00000"/>
          <x14:colorLast rgb="FFD00000"/>
          <x14:colorHigh rgb="FFD00000"/>
          <x14:colorLow rgb="FFD00000"/>
          <x14:sparklines>
            <x14:sparkline>
              <xm:f>'6-Packs of Cash Flow'!B37:G37</xm:f>
              <xm:sqref>H37</xm:sqref>
            </x14:sparkline>
          </x14:sparklines>
        </x14:sparklineGroup>
        <x14:sparklineGroup displayEmptyCellsAs="gap" xr2:uid="{21A127C9-B8D2-EE43-8EBB-03B11B75BC0A}">
          <x14:colorSeries rgb="FF376092"/>
          <x14:colorNegative rgb="FFD00000"/>
          <x14:colorAxis rgb="FF000000"/>
          <x14:colorMarkers rgb="FFD00000"/>
          <x14:colorFirst rgb="FFD00000"/>
          <x14:colorLast rgb="FFD00000"/>
          <x14:colorHigh rgb="FFD00000"/>
          <x14:colorLow rgb="FFD00000"/>
          <x14:sparklines>
            <x14:sparkline>
              <xm:f>'6-Packs of Cash Flow'!B32:G32</xm:f>
              <xm:sqref>H32</xm:sqref>
            </x14:sparkline>
          </x14:sparklines>
        </x14:sparklineGroup>
        <x14:sparklineGroup displayEmptyCellsAs="gap" xr2:uid="{CD97F978-0464-2844-88C5-6F05130BB0E0}">
          <x14:colorSeries rgb="FF376092"/>
          <x14:colorNegative rgb="FFD00000"/>
          <x14:colorAxis rgb="FF000000"/>
          <x14:colorMarkers rgb="FFD00000"/>
          <x14:colorFirst rgb="FFD00000"/>
          <x14:colorLast rgb="FFD00000"/>
          <x14:colorHigh rgb="FFD00000"/>
          <x14:colorLow rgb="FFD00000"/>
          <x14:sparklines>
            <x14:sparkline>
              <xm:f>'6-Packs of Cash Flow'!B26:G26</xm:f>
              <xm:sqref>H26</xm:sqref>
            </x14:sparkline>
          </x14:sparklines>
        </x14:sparklineGroup>
        <x14:sparklineGroup displayEmptyCellsAs="gap" xr2:uid="{D17CEBB4-0EB4-244B-A42D-66DAE91CB295}">
          <x14:colorSeries rgb="FF376092"/>
          <x14:colorNegative rgb="FFD00000"/>
          <x14:colorAxis rgb="FF000000"/>
          <x14:colorMarkers rgb="FFD00000"/>
          <x14:colorFirst rgb="FFD00000"/>
          <x14:colorLast rgb="FFD00000"/>
          <x14:colorHigh rgb="FFD00000"/>
          <x14:colorLow rgb="FFD00000"/>
          <x14:sparklines>
            <x14:sparkline>
              <xm:f>'6-Packs of Cash Flow'!B25:G25</xm:f>
              <xm:sqref>H25</xm:sqref>
            </x14:sparkline>
          </x14:sparklines>
        </x14:sparklineGroup>
        <x14:sparklineGroup displayEmptyCellsAs="gap" xr2:uid="{C44A2DBE-0699-E746-AA8D-44CC6433B13F}">
          <x14:colorSeries rgb="FF376092"/>
          <x14:colorNegative rgb="FFD00000"/>
          <x14:colorAxis rgb="FF000000"/>
          <x14:colorMarkers rgb="FFD00000"/>
          <x14:colorFirst rgb="FFD00000"/>
          <x14:colorLast rgb="FFD00000"/>
          <x14:colorHigh rgb="FFD00000"/>
          <x14:colorLow rgb="FFD00000"/>
          <x14:sparklines>
            <x14:sparkline>
              <xm:f>'6-Packs of Cash Flow'!B19:G19</xm:f>
              <xm:sqref>H19</xm:sqref>
            </x14:sparkline>
          </x14:sparklines>
        </x14:sparklineGroup>
        <x14:sparklineGroup displayEmptyCellsAs="gap" xr2:uid="{64333D12-0999-714A-A5BE-BCA563CE5E34}">
          <x14:colorSeries rgb="FF376092"/>
          <x14:colorNegative rgb="FFD00000"/>
          <x14:colorAxis rgb="FF000000"/>
          <x14:colorMarkers rgb="FFD00000"/>
          <x14:colorFirst rgb="FFD00000"/>
          <x14:colorLast rgb="FFD00000"/>
          <x14:colorHigh rgb="FFD00000"/>
          <x14:colorLow rgb="FFD00000"/>
          <x14:sparklines>
            <x14:sparkline>
              <xm:f>'6-Packs of Cash Flow'!B60:G60</xm:f>
              <xm:sqref>H60</xm:sqref>
            </x14:sparkline>
          </x14:sparklines>
        </x14:sparklineGroup>
      </x14:sparklineGroup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7B528-886A-2149-AC78-2269D3BC3336}">
  <dimension ref="A5:EM91"/>
  <sheetViews>
    <sheetView workbookViewId="0">
      <selection sqref="A1:XFD1048576"/>
    </sheetView>
  </sheetViews>
  <sheetFormatPr baseColWidth="10" defaultRowHeight="16" x14ac:dyDescent="0.2"/>
  <cols>
    <col min="1" max="1" width="45.83203125" style="2" customWidth="1"/>
    <col min="2" max="136" width="14.83203125" style="2" customWidth="1"/>
    <col min="137" max="256" width="8.83203125" style="2" customWidth="1"/>
    <col min="257" max="257" width="45.83203125" style="2" customWidth="1"/>
    <col min="258" max="392" width="14.83203125" style="2" customWidth="1"/>
    <col min="393" max="512" width="8.83203125" style="2" customWidth="1"/>
    <col min="513" max="513" width="45.83203125" style="2" customWidth="1"/>
    <col min="514" max="648" width="14.83203125" style="2" customWidth="1"/>
    <col min="649" max="768" width="8.83203125" style="2" customWidth="1"/>
    <col min="769" max="769" width="45.83203125" style="2" customWidth="1"/>
    <col min="770" max="904" width="14.83203125" style="2" customWidth="1"/>
    <col min="905" max="1024" width="8.83203125" style="2" customWidth="1"/>
    <col min="1025" max="1025" width="45.83203125" style="2" customWidth="1"/>
    <col min="1026" max="1160" width="14.83203125" style="2" customWidth="1"/>
    <col min="1161" max="1280" width="8.83203125" style="2" customWidth="1"/>
    <col min="1281" max="1281" width="45.83203125" style="2" customWidth="1"/>
    <col min="1282" max="1416" width="14.83203125" style="2" customWidth="1"/>
    <col min="1417" max="1536" width="8.83203125" style="2" customWidth="1"/>
    <col min="1537" max="1537" width="45.83203125" style="2" customWidth="1"/>
    <col min="1538" max="1672" width="14.83203125" style="2" customWidth="1"/>
    <col min="1673" max="1792" width="8.83203125" style="2" customWidth="1"/>
    <col min="1793" max="1793" width="45.83203125" style="2" customWidth="1"/>
    <col min="1794" max="1928" width="14.83203125" style="2" customWidth="1"/>
    <col min="1929" max="2048" width="8.83203125" style="2" customWidth="1"/>
    <col min="2049" max="2049" width="45.83203125" style="2" customWidth="1"/>
    <col min="2050" max="2184" width="14.83203125" style="2" customWidth="1"/>
    <col min="2185" max="2304" width="8.83203125" style="2" customWidth="1"/>
    <col min="2305" max="2305" width="45.83203125" style="2" customWidth="1"/>
    <col min="2306" max="2440" width="14.83203125" style="2" customWidth="1"/>
    <col min="2441" max="2560" width="8.83203125" style="2" customWidth="1"/>
    <col min="2561" max="2561" width="45.83203125" style="2" customWidth="1"/>
    <col min="2562" max="2696" width="14.83203125" style="2" customWidth="1"/>
    <col min="2697" max="2816" width="8.83203125" style="2" customWidth="1"/>
    <col min="2817" max="2817" width="45.83203125" style="2" customWidth="1"/>
    <col min="2818" max="2952" width="14.83203125" style="2" customWidth="1"/>
    <col min="2953" max="3072" width="8.83203125" style="2" customWidth="1"/>
    <col min="3073" max="3073" width="45.83203125" style="2" customWidth="1"/>
    <col min="3074" max="3208" width="14.83203125" style="2" customWidth="1"/>
    <col min="3209" max="3328" width="8.83203125" style="2" customWidth="1"/>
    <col min="3329" max="3329" width="45.83203125" style="2" customWidth="1"/>
    <col min="3330" max="3464" width="14.83203125" style="2" customWidth="1"/>
    <col min="3465" max="3584" width="8.83203125" style="2" customWidth="1"/>
    <col min="3585" max="3585" width="45.83203125" style="2" customWidth="1"/>
    <col min="3586" max="3720" width="14.83203125" style="2" customWidth="1"/>
    <col min="3721" max="3840" width="8.83203125" style="2" customWidth="1"/>
    <col min="3841" max="3841" width="45.83203125" style="2" customWidth="1"/>
    <col min="3842" max="3976" width="14.83203125" style="2" customWidth="1"/>
    <col min="3977" max="4096" width="8.83203125" style="2" customWidth="1"/>
    <col min="4097" max="4097" width="45.83203125" style="2" customWidth="1"/>
    <col min="4098" max="4232" width="14.83203125" style="2" customWidth="1"/>
    <col min="4233" max="4352" width="8.83203125" style="2" customWidth="1"/>
    <col min="4353" max="4353" width="45.83203125" style="2" customWidth="1"/>
    <col min="4354" max="4488" width="14.83203125" style="2" customWidth="1"/>
    <col min="4489" max="4608" width="8.83203125" style="2" customWidth="1"/>
    <col min="4609" max="4609" width="45.83203125" style="2" customWidth="1"/>
    <col min="4610" max="4744" width="14.83203125" style="2" customWidth="1"/>
    <col min="4745" max="4864" width="8.83203125" style="2" customWidth="1"/>
    <col min="4865" max="4865" width="45.83203125" style="2" customWidth="1"/>
    <col min="4866" max="5000" width="14.83203125" style="2" customWidth="1"/>
    <col min="5001" max="5120" width="8.83203125" style="2" customWidth="1"/>
    <col min="5121" max="5121" width="45.83203125" style="2" customWidth="1"/>
    <col min="5122" max="5256" width="14.83203125" style="2" customWidth="1"/>
    <col min="5257" max="5376" width="8.83203125" style="2" customWidth="1"/>
    <col min="5377" max="5377" width="45.83203125" style="2" customWidth="1"/>
    <col min="5378" max="5512" width="14.83203125" style="2" customWidth="1"/>
    <col min="5513" max="5632" width="8.83203125" style="2" customWidth="1"/>
    <col min="5633" max="5633" width="45.83203125" style="2" customWidth="1"/>
    <col min="5634" max="5768" width="14.83203125" style="2" customWidth="1"/>
    <col min="5769" max="5888" width="8.83203125" style="2" customWidth="1"/>
    <col min="5889" max="5889" width="45.83203125" style="2" customWidth="1"/>
    <col min="5890" max="6024" width="14.83203125" style="2" customWidth="1"/>
    <col min="6025" max="6144" width="8.83203125" style="2" customWidth="1"/>
    <col min="6145" max="6145" width="45.83203125" style="2" customWidth="1"/>
    <col min="6146" max="6280" width="14.83203125" style="2" customWidth="1"/>
    <col min="6281" max="6400" width="8.83203125" style="2" customWidth="1"/>
    <col min="6401" max="6401" width="45.83203125" style="2" customWidth="1"/>
    <col min="6402" max="6536" width="14.83203125" style="2" customWidth="1"/>
    <col min="6537" max="6656" width="8.83203125" style="2" customWidth="1"/>
    <col min="6657" max="6657" width="45.83203125" style="2" customWidth="1"/>
    <col min="6658" max="6792" width="14.83203125" style="2" customWidth="1"/>
    <col min="6793" max="6912" width="8.83203125" style="2" customWidth="1"/>
    <col min="6913" max="6913" width="45.83203125" style="2" customWidth="1"/>
    <col min="6914" max="7048" width="14.83203125" style="2" customWidth="1"/>
    <col min="7049" max="7168" width="8.83203125" style="2" customWidth="1"/>
    <col min="7169" max="7169" width="45.83203125" style="2" customWidth="1"/>
    <col min="7170" max="7304" width="14.83203125" style="2" customWidth="1"/>
    <col min="7305" max="7424" width="8.83203125" style="2" customWidth="1"/>
    <col min="7425" max="7425" width="45.83203125" style="2" customWidth="1"/>
    <col min="7426" max="7560" width="14.83203125" style="2" customWidth="1"/>
    <col min="7561" max="7680" width="8.83203125" style="2" customWidth="1"/>
    <col min="7681" max="7681" width="45.83203125" style="2" customWidth="1"/>
    <col min="7682" max="7816" width="14.83203125" style="2" customWidth="1"/>
    <col min="7817" max="7936" width="8.83203125" style="2" customWidth="1"/>
    <col min="7937" max="7937" width="45.83203125" style="2" customWidth="1"/>
    <col min="7938" max="8072" width="14.83203125" style="2" customWidth="1"/>
    <col min="8073" max="8192" width="8.83203125" style="2" customWidth="1"/>
    <col min="8193" max="8193" width="45.83203125" style="2" customWidth="1"/>
    <col min="8194" max="8328" width="14.83203125" style="2" customWidth="1"/>
    <col min="8329" max="8448" width="8.83203125" style="2" customWidth="1"/>
    <col min="8449" max="8449" width="45.83203125" style="2" customWidth="1"/>
    <col min="8450" max="8584" width="14.83203125" style="2" customWidth="1"/>
    <col min="8585" max="8704" width="8.83203125" style="2" customWidth="1"/>
    <col min="8705" max="8705" width="45.83203125" style="2" customWidth="1"/>
    <col min="8706" max="8840" width="14.83203125" style="2" customWidth="1"/>
    <col min="8841" max="8960" width="8.83203125" style="2" customWidth="1"/>
    <col min="8961" max="8961" width="45.83203125" style="2" customWidth="1"/>
    <col min="8962" max="9096" width="14.83203125" style="2" customWidth="1"/>
    <col min="9097" max="9216" width="8.83203125" style="2" customWidth="1"/>
    <col min="9217" max="9217" width="45.83203125" style="2" customWidth="1"/>
    <col min="9218" max="9352" width="14.83203125" style="2" customWidth="1"/>
    <col min="9353" max="9472" width="8.83203125" style="2" customWidth="1"/>
    <col min="9473" max="9473" width="45.83203125" style="2" customWidth="1"/>
    <col min="9474" max="9608" width="14.83203125" style="2" customWidth="1"/>
    <col min="9609" max="9728" width="8.83203125" style="2" customWidth="1"/>
    <col min="9729" max="9729" width="45.83203125" style="2" customWidth="1"/>
    <col min="9730" max="9864" width="14.83203125" style="2" customWidth="1"/>
    <col min="9865" max="9984" width="8.83203125" style="2" customWidth="1"/>
    <col min="9985" max="9985" width="45.83203125" style="2" customWidth="1"/>
    <col min="9986" max="10120" width="14.83203125" style="2" customWidth="1"/>
    <col min="10121" max="10240" width="8.83203125" style="2" customWidth="1"/>
    <col min="10241" max="10241" width="45.83203125" style="2" customWidth="1"/>
    <col min="10242" max="10376" width="14.83203125" style="2" customWidth="1"/>
    <col min="10377" max="10496" width="8.83203125" style="2" customWidth="1"/>
    <col min="10497" max="10497" width="45.83203125" style="2" customWidth="1"/>
    <col min="10498" max="10632" width="14.83203125" style="2" customWidth="1"/>
    <col min="10633" max="10752" width="8.83203125" style="2" customWidth="1"/>
    <col min="10753" max="10753" width="45.83203125" style="2" customWidth="1"/>
    <col min="10754" max="10888" width="14.83203125" style="2" customWidth="1"/>
    <col min="10889" max="11008" width="8.83203125" style="2" customWidth="1"/>
    <col min="11009" max="11009" width="45.83203125" style="2" customWidth="1"/>
    <col min="11010" max="11144" width="14.83203125" style="2" customWidth="1"/>
    <col min="11145" max="11264" width="8.83203125" style="2" customWidth="1"/>
    <col min="11265" max="11265" width="45.83203125" style="2" customWidth="1"/>
    <col min="11266" max="11400" width="14.83203125" style="2" customWidth="1"/>
    <col min="11401" max="11520" width="8.83203125" style="2" customWidth="1"/>
    <col min="11521" max="11521" width="45.83203125" style="2" customWidth="1"/>
    <col min="11522" max="11656" width="14.83203125" style="2" customWidth="1"/>
    <col min="11657" max="11776" width="8.83203125" style="2" customWidth="1"/>
    <col min="11777" max="11777" width="45.83203125" style="2" customWidth="1"/>
    <col min="11778" max="11912" width="14.83203125" style="2" customWidth="1"/>
    <col min="11913" max="12032" width="8.83203125" style="2" customWidth="1"/>
    <col min="12033" max="12033" width="45.83203125" style="2" customWidth="1"/>
    <col min="12034" max="12168" width="14.83203125" style="2" customWidth="1"/>
    <col min="12169" max="12288" width="8.83203125" style="2" customWidth="1"/>
    <col min="12289" max="12289" width="45.83203125" style="2" customWidth="1"/>
    <col min="12290" max="12424" width="14.83203125" style="2" customWidth="1"/>
    <col min="12425" max="12544" width="8.83203125" style="2" customWidth="1"/>
    <col min="12545" max="12545" width="45.83203125" style="2" customWidth="1"/>
    <col min="12546" max="12680" width="14.83203125" style="2" customWidth="1"/>
    <col min="12681" max="12800" width="8.83203125" style="2" customWidth="1"/>
    <col min="12801" max="12801" width="45.83203125" style="2" customWidth="1"/>
    <col min="12802" max="12936" width="14.83203125" style="2" customWidth="1"/>
    <col min="12937" max="13056" width="8.83203125" style="2" customWidth="1"/>
    <col min="13057" max="13057" width="45.83203125" style="2" customWidth="1"/>
    <col min="13058" max="13192" width="14.83203125" style="2" customWidth="1"/>
    <col min="13193" max="13312" width="8.83203125" style="2" customWidth="1"/>
    <col min="13313" max="13313" width="45.83203125" style="2" customWidth="1"/>
    <col min="13314" max="13448" width="14.83203125" style="2" customWidth="1"/>
    <col min="13449" max="13568" width="8.83203125" style="2" customWidth="1"/>
    <col min="13569" max="13569" width="45.83203125" style="2" customWidth="1"/>
    <col min="13570" max="13704" width="14.83203125" style="2" customWidth="1"/>
    <col min="13705" max="13824" width="8.83203125" style="2" customWidth="1"/>
    <col min="13825" max="13825" width="45.83203125" style="2" customWidth="1"/>
    <col min="13826" max="13960" width="14.83203125" style="2" customWidth="1"/>
    <col min="13961" max="14080" width="8.83203125" style="2" customWidth="1"/>
    <col min="14081" max="14081" width="45.83203125" style="2" customWidth="1"/>
    <col min="14082" max="14216" width="14.83203125" style="2" customWidth="1"/>
    <col min="14217" max="14336" width="8.83203125" style="2" customWidth="1"/>
    <col min="14337" max="14337" width="45.83203125" style="2" customWidth="1"/>
    <col min="14338" max="14472" width="14.83203125" style="2" customWidth="1"/>
    <col min="14473" max="14592" width="8.83203125" style="2" customWidth="1"/>
    <col min="14593" max="14593" width="45.83203125" style="2" customWidth="1"/>
    <col min="14594" max="14728" width="14.83203125" style="2" customWidth="1"/>
    <col min="14729" max="14848" width="8.83203125" style="2" customWidth="1"/>
    <col min="14849" max="14849" width="45.83203125" style="2" customWidth="1"/>
    <col min="14850" max="14984" width="14.83203125" style="2" customWidth="1"/>
    <col min="14985" max="15104" width="8.83203125" style="2" customWidth="1"/>
    <col min="15105" max="15105" width="45.83203125" style="2" customWidth="1"/>
    <col min="15106" max="15240" width="14.83203125" style="2" customWidth="1"/>
    <col min="15241" max="15360" width="8.83203125" style="2" customWidth="1"/>
    <col min="15361" max="15361" width="45.83203125" style="2" customWidth="1"/>
    <col min="15362" max="15496" width="14.83203125" style="2" customWidth="1"/>
    <col min="15497" max="15616" width="8.83203125" style="2" customWidth="1"/>
    <col min="15617" max="15617" width="45.83203125" style="2" customWidth="1"/>
    <col min="15618" max="15752" width="14.83203125" style="2" customWidth="1"/>
    <col min="15753" max="15872" width="8.83203125" style="2" customWidth="1"/>
    <col min="15873" max="15873" width="45.83203125" style="2" customWidth="1"/>
    <col min="15874" max="16008" width="14.83203125" style="2" customWidth="1"/>
    <col min="16009" max="16128" width="8.83203125" style="2" customWidth="1"/>
    <col min="16129" max="16129" width="45.83203125" style="2" customWidth="1"/>
    <col min="16130" max="16264" width="14.83203125" style="2" customWidth="1"/>
    <col min="16265" max="16384" width="8.83203125" style="2" customWidth="1"/>
  </cols>
  <sheetData>
    <row r="5" spans="1:143" x14ac:dyDescent="0.2">
      <c r="A5" s="1" t="s">
        <v>360</v>
      </c>
    </row>
    <row r="7" spans="1:143" x14ac:dyDescent="0.2">
      <c r="A7" s="5"/>
      <c r="B7" s="4" t="s">
        <v>361</v>
      </c>
      <c r="C7" s="2" t="s">
        <v>362</v>
      </c>
      <c r="D7" s="5" t="s">
        <v>4</v>
      </c>
      <c r="E7" s="4" t="s">
        <v>363</v>
      </c>
      <c r="F7" s="2" t="s">
        <v>364</v>
      </c>
    </row>
    <row r="8" spans="1:143" x14ac:dyDescent="0.2">
      <c r="A8" s="5"/>
      <c r="B8" s="4" t="s">
        <v>7</v>
      </c>
      <c r="C8" s="2" t="s">
        <v>8</v>
      </c>
      <c r="D8" s="5" t="s">
        <v>4</v>
      </c>
      <c r="E8" s="4" t="s">
        <v>11</v>
      </c>
      <c r="F8" s="6" t="s">
        <v>12</v>
      </c>
    </row>
    <row r="9" spans="1:143" x14ac:dyDescent="0.2">
      <c r="A9" s="5"/>
      <c r="B9" s="4" t="s">
        <v>13</v>
      </c>
      <c r="C9" s="2" t="s">
        <v>14</v>
      </c>
      <c r="D9" s="5" t="s">
        <v>4</v>
      </c>
      <c r="E9" s="7"/>
      <c r="F9" s="7"/>
    </row>
    <row r="12" spans="1:143" x14ac:dyDescent="0.2">
      <c r="A12" s="8" t="s">
        <v>365</v>
      </c>
      <c r="B12" s="8"/>
      <c r="C12" s="8"/>
      <c r="D12" s="8"/>
      <c r="E12" s="8"/>
      <c r="F12" s="8"/>
      <c r="G12" s="8"/>
      <c r="H12" s="8"/>
      <c r="I12" s="8"/>
      <c r="J12" s="8"/>
      <c r="K12" s="8"/>
      <c r="L12" s="8"/>
      <c r="M12" s="8"/>
      <c r="N12" s="8"/>
      <c r="O12" s="8"/>
      <c r="P12" s="8"/>
      <c r="Q12" s="8"/>
      <c r="R12" s="8"/>
      <c r="S12" s="8"/>
      <c r="T12" s="8"/>
      <c r="U12" s="8"/>
      <c r="V12" s="8"/>
      <c r="W12" s="8"/>
      <c r="X12" s="8"/>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row>
    <row r="13" spans="1:143" ht="19" x14ac:dyDescent="0.35">
      <c r="A13" s="159"/>
      <c r="B13" s="160"/>
      <c r="C13" s="160"/>
      <c r="D13" s="160"/>
      <c r="E13" s="160"/>
      <c r="F13" s="160"/>
      <c r="G13" s="160"/>
      <c r="H13" s="160"/>
      <c r="I13" s="160"/>
      <c r="J13" s="160"/>
      <c r="K13" s="160"/>
      <c r="L13" s="160"/>
      <c r="M13" s="160"/>
      <c r="N13" s="160"/>
      <c r="O13" s="160"/>
      <c r="P13" s="160"/>
      <c r="Q13" s="160"/>
      <c r="R13" s="160"/>
      <c r="S13" s="160"/>
      <c r="T13" s="160"/>
      <c r="U13" s="160"/>
      <c r="V13" s="160"/>
      <c r="W13" s="160"/>
      <c r="X13" s="160"/>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row>
    <row r="14" spans="1:143" x14ac:dyDescent="0.2">
      <c r="A14" s="161" t="s">
        <v>366</v>
      </c>
      <c r="B14" s="162"/>
      <c r="C14" s="163">
        <v>43921</v>
      </c>
      <c r="D14" s="163">
        <v>44012</v>
      </c>
      <c r="E14" s="163">
        <v>44104</v>
      </c>
      <c r="F14" s="163">
        <v>44196</v>
      </c>
      <c r="G14" s="163">
        <v>44286</v>
      </c>
      <c r="H14" s="163">
        <v>44377</v>
      </c>
      <c r="I14" s="163">
        <v>44469</v>
      </c>
      <c r="J14" s="163">
        <v>44560</v>
      </c>
      <c r="K14" s="163">
        <v>44651</v>
      </c>
      <c r="L14" s="163">
        <v>44742</v>
      </c>
      <c r="M14" s="163">
        <v>44834</v>
      </c>
      <c r="N14" s="163">
        <v>44925</v>
      </c>
      <c r="O14" s="163">
        <v>45016</v>
      </c>
      <c r="P14" s="163">
        <v>45107</v>
      </c>
      <c r="Q14" s="163">
        <v>45198</v>
      </c>
      <c r="R14" s="163">
        <v>45289</v>
      </c>
      <c r="S14" s="163">
        <v>45379</v>
      </c>
      <c r="T14" s="163">
        <v>45471</v>
      </c>
      <c r="U14" s="163">
        <v>45565</v>
      </c>
      <c r="V14" s="163">
        <v>45657</v>
      </c>
      <c r="W14" s="163">
        <v>45747</v>
      </c>
      <c r="X14" s="163">
        <v>45826</v>
      </c>
    </row>
    <row r="15" spans="1:143" x14ac:dyDescent="0.2">
      <c r="A15" s="161" t="s">
        <v>367</v>
      </c>
      <c r="B15" s="164" t="s">
        <v>368</v>
      </c>
      <c r="C15" s="165">
        <v>0.60057298437499995</v>
      </c>
      <c r="D15" s="165">
        <v>0.5647960983606557</v>
      </c>
      <c r="E15" s="165">
        <v>0.54573686153846157</v>
      </c>
      <c r="F15" s="165">
        <v>0.54680804687499995</v>
      </c>
      <c r="G15" s="165">
        <v>0.52945812698412698</v>
      </c>
      <c r="H15" s="165">
        <v>0.50707013114754096</v>
      </c>
      <c r="I15" s="165">
        <v>0.53315403076923074</v>
      </c>
      <c r="J15" s="165">
        <v>0.54175268253968256</v>
      </c>
      <c r="K15" s="165">
        <v>0.55004922222222219</v>
      </c>
      <c r="L15" s="165">
        <v>0.5042059333333333</v>
      </c>
      <c r="M15" s="165">
        <v>0.48293575</v>
      </c>
      <c r="N15" s="165">
        <v>0.43616892063492063</v>
      </c>
      <c r="O15" s="165">
        <v>0.46663879687499998</v>
      </c>
      <c r="P15" s="165">
        <v>0.46186395000000002</v>
      </c>
      <c r="Q15" s="165">
        <v>0.43977121875000003</v>
      </c>
      <c r="R15" s="165">
        <v>0.45628725396825398</v>
      </c>
      <c r="S15" s="165">
        <v>0.46420353968253969</v>
      </c>
      <c r="T15" s="165">
        <v>0.45999598387096774</v>
      </c>
      <c r="U15" s="165">
        <v>0.48862336923076921</v>
      </c>
      <c r="V15" s="165">
        <v>0.50021939062499998</v>
      </c>
      <c r="W15" s="165">
        <v>0.50521614285714289</v>
      </c>
      <c r="X15" s="165">
        <v>0.49467822641509435</v>
      </c>
    </row>
    <row r="16" spans="1:143" x14ac:dyDescent="0.2">
      <c r="A16" s="164"/>
      <c r="B16" s="164" t="s">
        <v>369</v>
      </c>
      <c r="C16" s="166">
        <v>0.62363000000000002</v>
      </c>
      <c r="D16" s="166">
        <v>0.58805300000000005</v>
      </c>
      <c r="E16" s="166">
        <v>0.56204699999999996</v>
      </c>
      <c r="F16" s="166">
        <v>0.56909600000000005</v>
      </c>
      <c r="G16" s="166">
        <v>0.58512900000000001</v>
      </c>
      <c r="H16" s="166">
        <v>0.52040900000000001</v>
      </c>
      <c r="I16" s="166">
        <v>0.55640999999999996</v>
      </c>
      <c r="J16" s="166">
        <v>0.55666700000000002</v>
      </c>
      <c r="K16" s="166">
        <v>0.57128999999999996</v>
      </c>
      <c r="L16" s="166">
        <v>0.53906200000000004</v>
      </c>
      <c r="M16" s="166">
        <v>0.50655099999999997</v>
      </c>
      <c r="N16" s="166">
        <v>0.45549800000000001</v>
      </c>
      <c r="O16" s="166">
        <v>0.48447000000000001</v>
      </c>
      <c r="P16" s="166">
        <v>0.48676399999999997</v>
      </c>
      <c r="Q16" s="166">
        <v>0.45245800000000003</v>
      </c>
      <c r="R16" s="166">
        <v>0.46780500000000003</v>
      </c>
      <c r="S16" s="166">
        <v>0.48074</v>
      </c>
      <c r="T16" s="166">
        <v>0.47253299999999998</v>
      </c>
      <c r="U16" s="166">
        <v>0.51777799999999996</v>
      </c>
      <c r="V16" s="166">
        <v>0.51353599999999999</v>
      </c>
      <c r="W16" s="166">
        <v>0.53470700000000004</v>
      </c>
      <c r="X16" s="166">
        <v>0.52002400000000004</v>
      </c>
    </row>
    <row r="17" spans="1:24" x14ac:dyDescent="0.2">
      <c r="A17" s="164"/>
      <c r="B17" s="164" t="s">
        <v>370</v>
      </c>
      <c r="C17" s="166">
        <v>0.55344700000000002</v>
      </c>
      <c r="D17" s="166">
        <v>0.548817</v>
      </c>
      <c r="E17" s="166">
        <v>0.53303299999999998</v>
      </c>
      <c r="F17" s="166">
        <v>0.51949900000000004</v>
      </c>
      <c r="G17" s="166">
        <v>0.47474499999999997</v>
      </c>
      <c r="H17" s="166">
        <v>0.48497699999999999</v>
      </c>
      <c r="I17" s="166">
        <v>0.50530799999999998</v>
      </c>
      <c r="J17" s="166">
        <v>0.52732599999999996</v>
      </c>
      <c r="K17" s="166">
        <v>0.522617</v>
      </c>
      <c r="L17" s="166">
        <v>0.47733500000000001</v>
      </c>
      <c r="M17" s="166">
        <v>0.41971000000000003</v>
      </c>
      <c r="N17" s="166">
        <v>0.412242</v>
      </c>
      <c r="O17" s="166">
        <v>0.44353599999999999</v>
      </c>
      <c r="P17" s="166">
        <v>0.43400300000000003</v>
      </c>
      <c r="Q17" s="166">
        <v>0.42685299999999998</v>
      </c>
      <c r="R17" s="166">
        <v>0.42635299999999998</v>
      </c>
      <c r="S17" s="166">
        <v>0.44880799999999998</v>
      </c>
      <c r="T17" s="166">
        <v>0.44248500000000002</v>
      </c>
      <c r="U17" s="166">
        <v>0.45491900000000002</v>
      </c>
      <c r="V17" s="166">
        <v>0.48099199999999998</v>
      </c>
      <c r="W17" s="166">
        <v>0.46140399999999998</v>
      </c>
      <c r="X17" s="166">
        <v>0.44496799999999997</v>
      </c>
    </row>
    <row r="18" spans="1:24" x14ac:dyDescent="0.2">
      <c r="A18" s="164"/>
      <c r="B18" s="164" t="s">
        <v>371</v>
      </c>
      <c r="C18" s="166">
        <v>0.580183</v>
      </c>
      <c r="D18" s="166">
        <v>0.55783700000000003</v>
      </c>
      <c r="E18" s="166">
        <v>0.53438600000000003</v>
      </c>
      <c r="F18" s="166">
        <v>0.56205300000000002</v>
      </c>
      <c r="G18" s="166">
        <v>0.48604199999999997</v>
      </c>
      <c r="H18" s="166">
        <v>0.50510900000000003</v>
      </c>
      <c r="I18" s="166">
        <v>0.54534199999999999</v>
      </c>
      <c r="J18" s="166">
        <v>0.55666700000000002</v>
      </c>
      <c r="K18" s="166">
        <v>0.53525199999999995</v>
      </c>
      <c r="L18" s="166">
        <v>0.48876799999999998</v>
      </c>
      <c r="M18" s="166">
        <v>0.42755300000000002</v>
      </c>
      <c r="N18" s="166">
        <v>0.43809900000000002</v>
      </c>
      <c r="O18" s="166">
        <v>0.48447000000000001</v>
      </c>
      <c r="P18" s="166">
        <v>0.43562600000000001</v>
      </c>
      <c r="Q18" s="166">
        <v>0.43127399999999999</v>
      </c>
      <c r="R18" s="166">
        <v>0.467362</v>
      </c>
      <c r="S18" s="166">
        <v>0.47177400000000003</v>
      </c>
      <c r="T18" s="166">
        <v>0.45682400000000001</v>
      </c>
      <c r="U18" s="166">
        <v>0.505884</v>
      </c>
      <c r="V18" s="166">
        <v>0.50729199999999997</v>
      </c>
      <c r="W18" s="166">
        <v>0.47205599999999998</v>
      </c>
      <c r="X18" s="166">
        <v>0.52002400000000004</v>
      </c>
    </row>
    <row r="19" spans="1:24" x14ac:dyDescent="0.2">
      <c r="A19" s="161"/>
      <c r="B19" s="164"/>
      <c r="C19" s="164"/>
      <c r="D19" s="164"/>
      <c r="E19" s="164"/>
      <c r="F19" s="164"/>
      <c r="G19" s="164"/>
      <c r="H19" s="164"/>
      <c r="I19" s="164"/>
      <c r="J19" s="164"/>
      <c r="K19" s="164"/>
      <c r="L19" s="164"/>
      <c r="M19" s="164"/>
      <c r="N19" s="164"/>
      <c r="O19" s="164"/>
      <c r="P19" s="164"/>
      <c r="Q19" s="164"/>
      <c r="R19" s="164"/>
      <c r="S19" s="164"/>
      <c r="T19" s="164"/>
      <c r="U19" s="164"/>
      <c r="V19" s="164"/>
      <c r="W19" s="164"/>
      <c r="X19" s="164"/>
    </row>
    <row r="20" spans="1:24" x14ac:dyDescent="0.2">
      <c r="A20" s="161" t="s">
        <v>372</v>
      </c>
      <c r="B20" s="164" t="s">
        <v>368</v>
      </c>
      <c r="C20" s="165">
        <v>0.59121299999999999</v>
      </c>
      <c r="D20" s="165">
        <v>0.60250300000000001</v>
      </c>
      <c r="E20" s="165">
        <v>0.58757999999999999</v>
      </c>
      <c r="F20" s="165">
        <v>0.59663299999999997</v>
      </c>
      <c r="G20" s="165">
        <v>0.57648500000000003</v>
      </c>
      <c r="H20" s="165">
        <v>0.50519999999999998</v>
      </c>
      <c r="I20" s="165">
        <v>0.51765799999999995</v>
      </c>
      <c r="J20" s="165">
        <v>0.53106100000000001</v>
      </c>
      <c r="K20" s="165">
        <v>0.53271100000000005</v>
      </c>
      <c r="L20" s="165">
        <v>0.49182500000000001</v>
      </c>
      <c r="M20" s="165">
        <v>0.46535700000000002</v>
      </c>
      <c r="N20" s="165">
        <v>0.42021599999999998</v>
      </c>
      <c r="O20" s="165">
        <v>0.44243199999999999</v>
      </c>
      <c r="P20" s="165">
        <v>0.44316</v>
      </c>
      <c r="Q20" s="165">
        <v>0.42155900000000002</v>
      </c>
      <c r="R20" s="165">
        <v>0.44425900000000001</v>
      </c>
      <c r="S20" s="165">
        <v>0.44798199999999999</v>
      </c>
      <c r="T20" s="165">
        <v>0.44778299999999999</v>
      </c>
      <c r="U20" s="165">
        <v>0.474246</v>
      </c>
      <c r="V20" s="165">
        <v>0.48807899999999999</v>
      </c>
      <c r="W20" s="165">
        <v>0.48874800000000002</v>
      </c>
      <c r="X20" s="165">
        <v>0.47997600000000001</v>
      </c>
    </row>
    <row r="21" spans="1:24" x14ac:dyDescent="0.2">
      <c r="A21" s="164"/>
      <c r="B21" s="164" t="s">
        <v>369</v>
      </c>
      <c r="C21" s="166">
        <v>0.61422299999999996</v>
      </c>
      <c r="D21" s="166">
        <v>0.62841199999999997</v>
      </c>
      <c r="E21" s="166">
        <v>0.60146500000000003</v>
      </c>
      <c r="F21" s="166">
        <v>0.62188299999999996</v>
      </c>
      <c r="G21" s="166">
        <v>0.63780000000000003</v>
      </c>
      <c r="H21" s="166">
        <v>0.54014499999999999</v>
      </c>
      <c r="I21" s="166">
        <v>0.53663499999999997</v>
      </c>
      <c r="J21" s="166">
        <v>0.54462600000000005</v>
      </c>
      <c r="K21" s="166">
        <v>0.55461199999999999</v>
      </c>
      <c r="L21" s="166">
        <v>0.52002000000000004</v>
      </c>
      <c r="M21" s="166">
        <v>0.48837700000000001</v>
      </c>
      <c r="N21" s="166">
        <v>0.43834400000000001</v>
      </c>
      <c r="O21" s="166">
        <v>0.457258</v>
      </c>
      <c r="P21" s="166">
        <v>0.46249699999999999</v>
      </c>
      <c r="Q21" s="166">
        <v>0.43140699999999998</v>
      </c>
      <c r="R21" s="166">
        <v>0.45507799999999998</v>
      </c>
      <c r="S21" s="166">
        <v>0.466804</v>
      </c>
      <c r="T21" s="166">
        <v>0.46004800000000001</v>
      </c>
      <c r="U21" s="166">
        <v>0.50154399999999999</v>
      </c>
      <c r="V21" s="166">
        <v>0.50082199999999999</v>
      </c>
      <c r="W21" s="166">
        <v>0.51690400000000003</v>
      </c>
      <c r="X21" s="166">
        <v>0.50009999999999999</v>
      </c>
    </row>
    <row r="22" spans="1:24" x14ac:dyDescent="0.2">
      <c r="A22" s="164"/>
      <c r="B22" s="164" t="s">
        <v>370</v>
      </c>
      <c r="C22" s="166">
        <v>0.545825</v>
      </c>
      <c r="D22" s="166">
        <v>0.54813699999999999</v>
      </c>
      <c r="E22" s="166">
        <v>0.57278300000000004</v>
      </c>
      <c r="F22" s="166">
        <v>0.56849400000000005</v>
      </c>
      <c r="G22" s="166">
        <v>0.51849400000000001</v>
      </c>
      <c r="H22" s="166">
        <v>0.49296899999999999</v>
      </c>
      <c r="I22" s="166">
        <v>0.49460500000000002</v>
      </c>
      <c r="J22" s="166">
        <v>0.51662699999999995</v>
      </c>
      <c r="K22" s="166">
        <v>0.50461100000000003</v>
      </c>
      <c r="L22" s="166">
        <v>0.465225</v>
      </c>
      <c r="M22" s="166">
        <v>0.40226699999999999</v>
      </c>
      <c r="N22" s="166">
        <v>0.39744499999999999</v>
      </c>
      <c r="O22" s="166">
        <v>0.42715399999999998</v>
      </c>
      <c r="P22" s="166">
        <v>0.41432999999999998</v>
      </c>
      <c r="Q22" s="166">
        <v>0.412518</v>
      </c>
      <c r="R22" s="166">
        <v>0.41397899999999999</v>
      </c>
      <c r="S22" s="166">
        <v>0.433197</v>
      </c>
      <c r="T22" s="166">
        <v>0.431616</v>
      </c>
      <c r="U22" s="166">
        <v>0.44442399999999999</v>
      </c>
      <c r="V22" s="166">
        <v>0.46943099999999999</v>
      </c>
      <c r="W22" s="166">
        <v>0.44623400000000002</v>
      </c>
      <c r="X22" s="166">
        <v>0.43165300000000001</v>
      </c>
    </row>
    <row r="23" spans="1:24" x14ac:dyDescent="0.2">
      <c r="A23" s="164"/>
      <c r="B23" s="164" t="s">
        <v>371</v>
      </c>
      <c r="C23" s="166">
        <v>0.57366300000000003</v>
      </c>
      <c r="D23" s="166">
        <v>0.60427500000000001</v>
      </c>
      <c r="E23" s="166">
        <v>0.57613700000000001</v>
      </c>
      <c r="F23" s="166">
        <v>0.61143599999999998</v>
      </c>
      <c r="G23" s="166">
        <v>0.530941</v>
      </c>
      <c r="H23" s="166">
        <v>0.49441000000000002</v>
      </c>
      <c r="I23" s="166">
        <v>0.52379299999999995</v>
      </c>
      <c r="J23" s="166">
        <v>0.54293899999999995</v>
      </c>
      <c r="K23" s="166">
        <v>0.51649999999999996</v>
      </c>
      <c r="L23" s="166">
        <v>0.47428700000000001</v>
      </c>
      <c r="M23" s="166">
        <v>0.40767100000000001</v>
      </c>
      <c r="N23" s="166">
        <v>0.42191699999999999</v>
      </c>
      <c r="O23" s="166">
        <v>0.457258</v>
      </c>
      <c r="P23" s="166">
        <v>0.41588000000000003</v>
      </c>
      <c r="Q23" s="166">
        <v>0.41916300000000001</v>
      </c>
      <c r="R23" s="166">
        <v>0.45449600000000001</v>
      </c>
      <c r="S23" s="166">
        <v>0.45500600000000002</v>
      </c>
      <c r="T23" s="166">
        <v>0.44628499999999999</v>
      </c>
      <c r="U23" s="166">
        <v>0.48920200000000003</v>
      </c>
      <c r="V23" s="166">
        <v>0.49430000000000002</v>
      </c>
      <c r="W23" s="166">
        <v>0.45629999999999998</v>
      </c>
      <c r="X23" s="166">
        <v>0.50009999999999999</v>
      </c>
    </row>
    <row r="24" spans="1:24" x14ac:dyDescent="0.2">
      <c r="A24" s="161"/>
      <c r="B24" s="164"/>
      <c r="C24" s="164"/>
      <c r="D24" s="164"/>
      <c r="E24" s="164"/>
      <c r="F24" s="164"/>
      <c r="G24" s="164"/>
      <c r="H24" s="164"/>
      <c r="I24" s="164"/>
      <c r="J24" s="164"/>
      <c r="K24" s="164"/>
      <c r="L24" s="164"/>
      <c r="M24" s="164"/>
      <c r="N24" s="164"/>
      <c r="O24" s="164"/>
      <c r="P24" s="164"/>
      <c r="Q24" s="164"/>
      <c r="R24" s="164"/>
      <c r="S24" s="164"/>
      <c r="T24" s="164"/>
      <c r="U24" s="164"/>
      <c r="V24" s="164"/>
      <c r="W24" s="164"/>
      <c r="X24" s="164"/>
    </row>
    <row r="25" spans="1:24" x14ac:dyDescent="0.2">
      <c r="A25" s="161" t="s">
        <v>373</v>
      </c>
      <c r="B25" s="164" t="s">
        <v>368</v>
      </c>
      <c r="C25" s="165">
        <v>9.0881576718750008</v>
      </c>
      <c r="D25" s="165">
        <v>7.7011360819672134</v>
      </c>
      <c r="E25" s="165">
        <v>7.3675103999999996</v>
      </c>
      <c r="F25" s="165">
        <v>7.5324724062500001</v>
      </c>
      <c r="G25" s="165">
        <v>7.3029319206349204</v>
      </c>
      <c r="H25" s="165">
        <v>7.865587213114754</v>
      </c>
      <c r="I25" s="165">
        <v>8.3843293538461534</v>
      </c>
      <c r="J25" s="165">
        <v>7.880357587301587</v>
      </c>
      <c r="K25" s="165">
        <v>7.9685647777777779</v>
      </c>
      <c r="L25" s="165">
        <v>7.0430813333333333</v>
      </c>
      <c r="M25" s="165">
        <v>6.7025419062499996</v>
      </c>
      <c r="N25" s="165">
        <v>6.2912689682539682</v>
      </c>
      <c r="O25" s="165">
        <v>6.7389974218750002</v>
      </c>
      <c r="P25" s="165">
        <v>7.0144082499999998</v>
      </c>
      <c r="Q25" s="165">
        <v>6.83802853125</v>
      </c>
      <c r="R25" s="165">
        <v>7.1135412380952383</v>
      </c>
      <c r="S25" s="165">
        <v>7.2365577142857145</v>
      </c>
      <c r="T25" s="165">
        <v>6.9693707258064519</v>
      </c>
      <c r="U25" s="165">
        <v>7.3973788153846156</v>
      </c>
      <c r="V25" s="165">
        <v>7.3672667656249997</v>
      </c>
      <c r="W25" s="165">
        <v>7.4341009841269843</v>
      </c>
      <c r="X25" s="165">
        <v>7.250813943396226</v>
      </c>
    </row>
    <row r="26" spans="1:24" x14ac:dyDescent="0.2">
      <c r="A26" s="164"/>
      <c r="B26" s="164" t="s">
        <v>369</v>
      </c>
      <c r="C26" s="166">
        <v>9.4370740000000009</v>
      </c>
      <c r="D26" s="166">
        <v>8.6738689999999998</v>
      </c>
      <c r="E26" s="166">
        <v>7.5876950000000001</v>
      </c>
      <c r="F26" s="166">
        <v>7.8496629999999996</v>
      </c>
      <c r="G26" s="166">
        <v>8.070805</v>
      </c>
      <c r="H26" s="166">
        <v>8.1839069999999996</v>
      </c>
      <c r="I26" s="166">
        <v>8.750057</v>
      </c>
      <c r="J26" s="166">
        <v>8.5697349999999997</v>
      </c>
      <c r="K26" s="166">
        <v>8.2762829999999994</v>
      </c>
      <c r="L26" s="166">
        <v>7.8093959999999996</v>
      </c>
      <c r="M26" s="166">
        <v>7.0302910000000001</v>
      </c>
      <c r="N26" s="166">
        <v>6.5781080000000003</v>
      </c>
      <c r="O26" s="166">
        <v>6.9965109999999999</v>
      </c>
      <c r="P26" s="166">
        <v>7.3085870000000002</v>
      </c>
      <c r="Q26" s="166">
        <v>7.0258789999999998</v>
      </c>
      <c r="R26" s="166">
        <v>7.2927090000000003</v>
      </c>
      <c r="S26" s="166">
        <v>7.4943429999999998</v>
      </c>
      <c r="T26" s="166">
        <v>7.3271740000000003</v>
      </c>
      <c r="U26" s="166">
        <v>7.8387500000000001</v>
      </c>
      <c r="V26" s="166">
        <v>7.6706599999999998</v>
      </c>
      <c r="W26" s="166">
        <v>7.868055</v>
      </c>
      <c r="X26" s="166">
        <v>7.6222279999999998</v>
      </c>
    </row>
    <row r="27" spans="1:24" x14ac:dyDescent="0.2">
      <c r="A27" s="164"/>
      <c r="B27" s="164" t="s">
        <v>370</v>
      </c>
      <c r="C27" s="166">
        <v>8.3750260000000001</v>
      </c>
      <c r="D27" s="166">
        <v>7.4090920000000002</v>
      </c>
      <c r="E27" s="166">
        <v>7.1960030000000001</v>
      </c>
      <c r="F27" s="166">
        <v>7.163532</v>
      </c>
      <c r="G27" s="166">
        <v>6.5482620000000002</v>
      </c>
      <c r="H27" s="166">
        <v>6.6894</v>
      </c>
      <c r="I27" s="166">
        <v>7.9464249999999996</v>
      </c>
      <c r="J27" s="166">
        <v>7.6393779999999998</v>
      </c>
      <c r="K27" s="166">
        <v>7.5711550000000001</v>
      </c>
      <c r="L27" s="166">
        <v>6.6248170000000002</v>
      </c>
      <c r="M27" s="166">
        <v>5.8250440000000001</v>
      </c>
      <c r="N27" s="166">
        <v>5.9534289999999999</v>
      </c>
      <c r="O27" s="166">
        <v>6.4053620000000002</v>
      </c>
      <c r="P27" s="166">
        <v>6.739293</v>
      </c>
      <c r="Q27" s="166">
        <v>6.6666259999999999</v>
      </c>
      <c r="R27" s="166">
        <v>6.6588229999999999</v>
      </c>
      <c r="S27" s="166">
        <v>6.9965609999999998</v>
      </c>
      <c r="T27" s="166">
        <v>6.6560230000000002</v>
      </c>
      <c r="U27" s="166">
        <v>6.8871190000000002</v>
      </c>
      <c r="V27" s="166">
        <v>7.077655</v>
      </c>
      <c r="W27" s="166">
        <v>6.7894189999999996</v>
      </c>
      <c r="X27" s="166">
        <v>6.509811</v>
      </c>
    </row>
    <row r="28" spans="1:24" x14ac:dyDescent="0.2">
      <c r="A28" s="164"/>
      <c r="B28" s="164" t="s">
        <v>371</v>
      </c>
      <c r="C28" s="166">
        <v>8.7796149999999997</v>
      </c>
      <c r="D28" s="166">
        <v>7.5308609999999998</v>
      </c>
      <c r="E28" s="166">
        <v>7.2142679999999997</v>
      </c>
      <c r="F28" s="166">
        <v>7.7525250000000003</v>
      </c>
      <c r="G28" s="166">
        <v>6.7040850000000001</v>
      </c>
      <c r="H28" s="166">
        <v>7.9432919999999996</v>
      </c>
      <c r="I28" s="166">
        <v>8.5759889999999999</v>
      </c>
      <c r="J28" s="166">
        <v>8.0644390000000001</v>
      </c>
      <c r="K28" s="166">
        <v>7.7542049999999998</v>
      </c>
      <c r="L28" s="166">
        <v>6.7834919999999999</v>
      </c>
      <c r="M28" s="166">
        <v>5.9339000000000004</v>
      </c>
      <c r="N28" s="166">
        <v>6.3268319999999996</v>
      </c>
      <c r="O28" s="166">
        <v>6.9965109999999999</v>
      </c>
      <c r="P28" s="166">
        <v>6.7645020000000002</v>
      </c>
      <c r="Q28" s="166">
        <v>6.7356780000000001</v>
      </c>
      <c r="R28" s="166">
        <v>7.2857979999999998</v>
      </c>
      <c r="S28" s="166">
        <v>7.3545790000000002</v>
      </c>
      <c r="T28" s="166">
        <v>6.9159620000000004</v>
      </c>
      <c r="U28" s="166">
        <v>7.65869</v>
      </c>
      <c r="V28" s="166">
        <v>7.464645</v>
      </c>
      <c r="W28" s="166">
        <v>6.9461560000000002</v>
      </c>
      <c r="X28" s="166">
        <v>7.6222279999999998</v>
      </c>
    </row>
    <row r="29" spans="1:24" x14ac:dyDescent="0.2">
      <c r="A29" s="161"/>
      <c r="B29" s="164"/>
      <c r="C29" s="164"/>
      <c r="D29" s="164"/>
      <c r="E29" s="164"/>
      <c r="F29" s="164"/>
      <c r="G29" s="164"/>
      <c r="H29" s="164"/>
      <c r="I29" s="164"/>
      <c r="J29" s="164"/>
      <c r="K29" s="164"/>
      <c r="L29" s="164"/>
      <c r="M29" s="164"/>
      <c r="N29" s="164"/>
      <c r="O29" s="164"/>
      <c r="P29" s="164"/>
      <c r="Q29" s="164"/>
      <c r="R29" s="164"/>
      <c r="S29" s="164"/>
      <c r="T29" s="164"/>
      <c r="U29" s="164"/>
      <c r="V29" s="164"/>
      <c r="W29" s="164"/>
      <c r="X29" s="164"/>
    </row>
    <row r="30" spans="1:24" x14ac:dyDescent="0.2">
      <c r="A30" s="161" t="s">
        <v>374</v>
      </c>
      <c r="B30" s="164" t="s">
        <v>368</v>
      </c>
      <c r="C30" s="165">
        <v>7.524184</v>
      </c>
      <c r="D30" s="165">
        <v>7.899235</v>
      </c>
      <c r="E30" s="165">
        <v>8.0925589999999996</v>
      </c>
      <c r="F30" s="165">
        <v>8.2688480000000002</v>
      </c>
      <c r="G30" s="165">
        <v>8.0238739999999993</v>
      </c>
      <c r="H30" s="165">
        <v>6.9512600000000004</v>
      </c>
      <c r="I30" s="165">
        <v>7.1801589999999997</v>
      </c>
      <c r="J30" s="165">
        <v>7.2383329999999999</v>
      </c>
      <c r="K30" s="165">
        <v>7.2412780000000003</v>
      </c>
      <c r="L30" s="165">
        <v>6.9160820000000003</v>
      </c>
      <c r="M30" s="165">
        <v>6.607596</v>
      </c>
      <c r="N30" s="165">
        <v>6.3170700000000002</v>
      </c>
      <c r="O30" s="165">
        <v>6.7255339999999997</v>
      </c>
      <c r="P30" s="165">
        <v>6.8308099999999996</v>
      </c>
      <c r="Q30" s="165">
        <v>6.4875679999999996</v>
      </c>
      <c r="R30" s="165">
        <v>6.6719840000000001</v>
      </c>
      <c r="S30" s="165">
        <v>6.6801659999999998</v>
      </c>
      <c r="T30" s="165">
        <v>6.755541</v>
      </c>
      <c r="U30" s="165">
        <v>7.1181279999999996</v>
      </c>
      <c r="V30" s="165">
        <v>7.166512</v>
      </c>
      <c r="W30" s="165">
        <v>7.1640480000000002</v>
      </c>
      <c r="X30" s="165">
        <v>7.2935150000000002</v>
      </c>
    </row>
    <row r="31" spans="1:24" x14ac:dyDescent="0.2">
      <c r="A31" s="164"/>
      <c r="B31" s="164" t="s">
        <v>369</v>
      </c>
      <c r="C31" s="166">
        <v>7.8474849999999998</v>
      </c>
      <c r="D31" s="166">
        <v>8.3440980000000007</v>
      </c>
      <c r="E31" s="166">
        <v>8.4079010000000007</v>
      </c>
      <c r="F31" s="166">
        <v>8.670553</v>
      </c>
      <c r="G31" s="166">
        <v>8.915343</v>
      </c>
      <c r="H31" s="166">
        <v>7.5351780000000002</v>
      </c>
      <c r="I31" s="166">
        <v>7.4432830000000001</v>
      </c>
      <c r="J31" s="166">
        <v>7.4172900000000004</v>
      </c>
      <c r="K31" s="166">
        <v>7.5172749999999997</v>
      </c>
      <c r="L31" s="166">
        <v>7.3756069999999996</v>
      </c>
      <c r="M31" s="166">
        <v>6.9234239999999998</v>
      </c>
      <c r="N31" s="166">
        <v>6.6037689999999998</v>
      </c>
      <c r="O31" s="166">
        <v>6.9666119999999996</v>
      </c>
      <c r="P31" s="166">
        <v>7.1727179999999997</v>
      </c>
      <c r="Q31" s="166">
        <v>6.6466919999999998</v>
      </c>
      <c r="R31" s="166">
        <v>6.8105260000000003</v>
      </c>
      <c r="S31" s="166">
        <v>6.9856499999999997</v>
      </c>
      <c r="T31" s="166">
        <v>6.9497939999999998</v>
      </c>
      <c r="U31" s="166">
        <v>7.5153470000000002</v>
      </c>
      <c r="V31" s="166">
        <v>7.4191700000000003</v>
      </c>
      <c r="W31" s="166">
        <v>7.5790819999999997</v>
      </c>
      <c r="X31" s="166">
        <v>7.6060059999999998</v>
      </c>
    </row>
    <row r="32" spans="1:24" x14ac:dyDescent="0.2">
      <c r="A32" s="164"/>
      <c r="B32" s="164" t="s">
        <v>370</v>
      </c>
      <c r="C32" s="166">
        <v>6.9242860000000004</v>
      </c>
      <c r="D32" s="166">
        <v>6.9314410000000004</v>
      </c>
      <c r="E32" s="166">
        <v>7.656415</v>
      </c>
      <c r="F32" s="166">
        <v>7.8402969999999996</v>
      </c>
      <c r="G32" s="166">
        <v>7.2416980000000004</v>
      </c>
      <c r="H32" s="166">
        <v>6.7401160000000004</v>
      </c>
      <c r="I32" s="166">
        <v>6.8717069999999998</v>
      </c>
      <c r="J32" s="166">
        <v>7.0636739999999998</v>
      </c>
      <c r="K32" s="166">
        <v>6.8577469999999998</v>
      </c>
      <c r="L32" s="166">
        <v>6.5954959999999998</v>
      </c>
      <c r="M32" s="166">
        <v>5.7706289999999996</v>
      </c>
      <c r="N32" s="166">
        <v>5.8573979999999999</v>
      </c>
      <c r="O32" s="166">
        <v>6.459632</v>
      </c>
      <c r="P32" s="166">
        <v>6.3929689999999999</v>
      </c>
      <c r="Q32" s="166">
        <v>6.3575290000000004</v>
      </c>
      <c r="R32" s="166">
        <v>6.320227</v>
      </c>
      <c r="S32" s="166">
        <v>6.4475179999999996</v>
      </c>
      <c r="T32" s="166">
        <v>6.5124649999999997</v>
      </c>
      <c r="U32" s="166">
        <v>6.6979360000000003</v>
      </c>
      <c r="V32" s="166">
        <v>6.8937419999999996</v>
      </c>
      <c r="W32" s="166">
        <v>6.5403580000000003</v>
      </c>
      <c r="X32" s="166">
        <v>6.3826790000000004</v>
      </c>
    </row>
    <row r="33" spans="1:24" x14ac:dyDescent="0.2">
      <c r="A33" s="164"/>
      <c r="B33" s="164" t="s">
        <v>371</v>
      </c>
      <c r="C33" s="166">
        <v>7.2816270000000003</v>
      </c>
      <c r="D33" s="166">
        <v>8.0882109999999994</v>
      </c>
      <c r="E33" s="166">
        <v>7.9690240000000001</v>
      </c>
      <c r="F33" s="166">
        <v>8.5813380000000006</v>
      </c>
      <c r="G33" s="166">
        <v>7.4156009999999997</v>
      </c>
      <c r="H33" s="166">
        <v>6.9072469999999999</v>
      </c>
      <c r="I33" s="166">
        <v>7.2885900000000001</v>
      </c>
      <c r="J33" s="166">
        <v>7.3943199999999996</v>
      </c>
      <c r="K33" s="166">
        <v>7.0523920000000002</v>
      </c>
      <c r="L33" s="166">
        <v>6.7423830000000002</v>
      </c>
      <c r="M33" s="166">
        <v>5.8856149999999996</v>
      </c>
      <c r="N33" s="166">
        <v>6.3804369999999997</v>
      </c>
      <c r="O33" s="166">
        <v>6.9666119999999996</v>
      </c>
      <c r="P33" s="166">
        <v>6.4168810000000001</v>
      </c>
      <c r="Q33" s="166">
        <v>6.417726</v>
      </c>
      <c r="R33" s="166">
        <v>6.8021349999999998</v>
      </c>
      <c r="S33" s="166">
        <v>6.7795800000000002</v>
      </c>
      <c r="T33" s="166">
        <v>6.7259890000000002</v>
      </c>
      <c r="U33" s="166">
        <v>7.2716019999999997</v>
      </c>
      <c r="V33" s="166">
        <v>7.2365459999999997</v>
      </c>
      <c r="W33" s="166">
        <v>6.7087960000000004</v>
      </c>
      <c r="X33" s="166">
        <v>7.5411739999999998</v>
      </c>
    </row>
    <row r="34" spans="1:24" x14ac:dyDescent="0.2">
      <c r="A34" s="161"/>
      <c r="B34" s="164"/>
      <c r="C34" s="164"/>
      <c r="D34" s="164"/>
      <c r="E34" s="164"/>
      <c r="F34" s="164"/>
      <c r="G34" s="164"/>
      <c r="H34" s="164"/>
      <c r="I34" s="164"/>
      <c r="J34" s="164"/>
      <c r="K34" s="164"/>
      <c r="L34" s="164"/>
      <c r="M34" s="164"/>
      <c r="N34" s="164"/>
      <c r="O34" s="164"/>
      <c r="P34" s="164"/>
      <c r="Q34" s="164"/>
      <c r="R34" s="164"/>
      <c r="S34" s="164"/>
      <c r="T34" s="164"/>
      <c r="U34" s="164"/>
      <c r="V34" s="164"/>
      <c r="W34" s="164"/>
      <c r="X34" s="164"/>
    </row>
    <row r="35" spans="1:24" x14ac:dyDescent="0.2">
      <c r="A35" s="161" t="s">
        <v>375</v>
      </c>
      <c r="B35" s="164" t="s">
        <v>368</v>
      </c>
      <c r="C35" s="165">
        <v>15.858404859375</v>
      </c>
      <c r="D35" s="165">
        <v>12.719828377049181</v>
      </c>
      <c r="E35" s="165">
        <v>12.099263461538461</v>
      </c>
      <c r="F35" s="165">
        <v>12.093146015625001</v>
      </c>
      <c r="G35" s="165">
        <v>11.707559682539683</v>
      </c>
      <c r="H35" s="165">
        <v>13.484702606557377</v>
      </c>
      <c r="I35" s="165">
        <v>14.475946169230768</v>
      </c>
      <c r="J35" s="165">
        <v>12.625734523809523</v>
      </c>
      <c r="K35" s="165">
        <v>12.713230206349206</v>
      </c>
      <c r="L35" s="165">
        <v>10.886151549999999</v>
      </c>
      <c r="M35" s="165">
        <v>10.17699625</v>
      </c>
      <c r="N35" s="165">
        <v>9.5672417301587309</v>
      </c>
      <c r="O35" s="165">
        <v>10.248600328125001</v>
      </c>
      <c r="P35" s="165">
        <v>11.004577016666667</v>
      </c>
      <c r="Q35" s="165">
        <v>10.564374078125001</v>
      </c>
      <c r="R35" s="165">
        <v>10.893754587301588</v>
      </c>
      <c r="S35" s="165">
        <v>11.081700222222223</v>
      </c>
      <c r="T35" s="165">
        <v>11.14445893548387</v>
      </c>
      <c r="U35" s="165">
        <v>11.856866507692308</v>
      </c>
      <c r="V35" s="165">
        <v>11.591785859374999</v>
      </c>
      <c r="W35" s="165">
        <v>11.689620476190477</v>
      </c>
      <c r="X35" s="165">
        <v>11.526085415094339</v>
      </c>
    </row>
    <row r="36" spans="1:24" x14ac:dyDescent="0.2">
      <c r="A36" s="164"/>
      <c r="B36" s="164" t="s">
        <v>369</v>
      </c>
      <c r="C36" s="166">
        <v>16.467247</v>
      </c>
      <c r="D36" s="166">
        <v>15.135491999999999</v>
      </c>
      <c r="E36" s="166">
        <v>12.46086</v>
      </c>
      <c r="F36" s="166">
        <v>12.584040999999999</v>
      </c>
      <c r="G36" s="166">
        <v>12.938561</v>
      </c>
      <c r="H36" s="166">
        <v>14.129906999999999</v>
      </c>
      <c r="I36" s="166">
        <v>15.107393</v>
      </c>
      <c r="J36" s="166">
        <v>14.796058</v>
      </c>
      <c r="K36" s="166">
        <v>13.20417</v>
      </c>
      <c r="L36" s="166">
        <v>12.459289</v>
      </c>
      <c r="M36" s="166">
        <v>10.674643</v>
      </c>
      <c r="N36" s="166">
        <v>10.003921</v>
      </c>
      <c r="O36" s="166">
        <v>10.640224999999999</v>
      </c>
      <c r="P36" s="166">
        <v>11.570415000000001</v>
      </c>
      <c r="Q36" s="166">
        <v>10.879194999999999</v>
      </c>
      <c r="R36" s="166">
        <v>11.167687000000001</v>
      </c>
      <c r="S36" s="166">
        <v>11.476459999999999</v>
      </c>
      <c r="T36" s="166">
        <v>11.466412</v>
      </c>
      <c r="U36" s="166">
        <v>12.564316</v>
      </c>
      <c r="V36" s="166">
        <v>12.294895</v>
      </c>
      <c r="W36" s="166">
        <v>12.371983</v>
      </c>
      <c r="X36" s="166">
        <v>12.139575000000001</v>
      </c>
    </row>
    <row r="37" spans="1:24" x14ac:dyDescent="0.2">
      <c r="A37" s="164"/>
      <c r="B37" s="164" t="s">
        <v>370</v>
      </c>
      <c r="C37" s="166">
        <v>14.614024000000001</v>
      </c>
      <c r="D37" s="166">
        <v>12.16755</v>
      </c>
      <c r="E37" s="166">
        <v>11.817606</v>
      </c>
      <c r="F37" s="166">
        <v>11.487347</v>
      </c>
      <c r="G37" s="166">
        <v>10.497725000000001</v>
      </c>
      <c r="H37" s="166">
        <v>10.723986999999999</v>
      </c>
      <c r="I37" s="166">
        <v>13.719882999999999</v>
      </c>
      <c r="J37" s="166">
        <v>12.188038000000001</v>
      </c>
      <c r="K37" s="166">
        <v>12.079193</v>
      </c>
      <c r="L37" s="166">
        <v>10.058980999999999</v>
      </c>
      <c r="M37" s="166">
        <v>8.8446219999999993</v>
      </c>
      <c r="N37" s="166">
        <v>9.0539149999999999</v>
      </c>
      <c r="O37" s="166">
        <v>9.7412120000000009</v>
      </c>
      <c r="P37" s="166">
        <v>10.435432</v>
      </c>
      <c r="Q37" s="166">
        <v>10.222633999999999</v>
      </c>
      <c r="R37" s="166">
        <v>10.210668999999999</v>
      </c>
      <c r="S37" s="166">
        <v>10.714181</v>
      </c>
      <c r="T37" s="166">
        <v>10.737278999999999</v>
      </c>
      <c r="U37" s="166">
        <v>11.038999</v>
      </c>
      <c r="V37" s="166">
        <v>11.129132999999999</v>
      </c>
      <c r="W37" s="166">
        <v>10.675902000000001</v>
      </c>
      <c r="X37" s="166">
        <v>10.35632</v>
      </c>
    </row>
    <row r="38" spans="1:24" x14ac:dyDescent="0.2">
      <c r="A38" s="164"/>
      <c r="B38" s="164" t="s">
        <v>371</v>
      </c>
      <c r="C38" s="166">
        <v>15.320012999999999</v>
      </c>
      <c r="D38" s="166">
        <v>12.367525000000001</v>
      </c>
      <c r="E38" s="166">
        <v>11.847602</v>
      </c>
      <c r="F38" s="166">
        <v>12.428316000000001</v>
      </c>
      <c r="G38" s="166">
        <v>10.747529</v>
      </c>
      <c r="H38" s="166">
        <v>13.714475</v>
      </c>
      <c r="I38" s="166">
        <v>14.806855000000001</v>
      </c>
      <c r="J38" s="166">
        <v>12.86619</v>
      </c>
      <c r="K38" s="166">
        <v>12.371236</v>
      </c>
      <c r="L38" s="166">
        <v>10.299909</v>
      </c>
      <c r="M38" s="166">
        <v>9.0099079999999994</v>
      </c>
      <c r="N38" s="166">
        <v>9.6217830000000006</v>
      </c>
      <c r="O38" s="166">
        <v>10.640224999999999</v>
      </c>
      <c r="P38" s="166">
        <v>10.474467000000001</v>
      </c>
      <c r="Q38" s="166">
        <v>10.328518000000001</v>
      </c>
      <c r="R38" s="166">
        <v>11.157105</v>
      </c>
      <c r="S38" s="166">
        <v>11.262432</v>
      </c>
      <c r="T38" s="166">
        <v>11.085229</v>
      </c>
      <c r="U38" s="166">
        <v>12.275709000000001</v>
      </c>
      <c r="V38" s="166">
        <v>11.737648999999999</v>
      </c>
      <c r="W38" s="166">
        <v>10.922361</v>
      </c>
      <c r="X38" s="166">
        <v>12.139575000000001</v>
      </c>
    </row>
    <row r="39" spans="1:24" x14ac:dyDescent="0.2">
      <c r="A39" s="161"/>
      <c r="B39" s="164"/>
      <c r="C39" s="164"/>
      <c r="D39" s="164"/>
      <c r="E39" s="164"/>
      <c r="F39" s="164"/>
      <c r="G39" s="164"/>
      <c r="H39" s="164"/>
      <c r="I39" s="164"/>
      <c r="J39" s="164"/>
      <c r="K39" s="164"/>
      <c r="L39" s="164"/>
      <c r="M39" s="164"/>
      <c r="N39" s="164"/>
      <c r="O39" s="164"/>
      <c r="P39" s="164"/>
      <c r="Q39" s="164"/>
      <c r="R39" s="164"/>
      <c r="S39" s="164"/>
      <c r="T39" s="164"/>
      <c r="U39" s="164"/>
      <c r="V39" s="164"/>
      <c r="W39" s="164"/>
      <c r="X39" s="164"/>
    </row>
    <row r="40" spans="1:24" x14ac:dyDescent="0.2">
      <c r="A40" s="161" t="s">
        <v>376</v>
      </c>
      <c r="B40" s="164" t="s">
        <v>368</v>
      </c>
      <c r="C40" s="165">
        <v>12.556824000000001</v>
      </c>
      <c r="D40" s="165">
        <v>13.809354000000001</v>
      </c>
      <c r="E40" s="165">
        <v>14.200430000000001</v>
      </c>
      <c r="F40" s="165">
        <v>14.190899</v>
      </c>
      <c r="G40" s="165">
        <v>13.760759</v>
      </c>
      <c r="H40" s="165">
        <v>11.962142999999999</v>
      </c>
      <c r="I40" s="165">
        <v>12.196336000000001</v>
      </c>
      <c r="J40" s="165">
        <v>11.948822</v>
      </c>
      <c r="K40" s="165">
        <v>11.84201</v>
      </c>
      <c r="L40" s="165">
        <v>11.391557000000001</v>
      </c>
      <c r="M40" s="165">
        <v>10.932376</v>
      </c>
      <c r="N40" s="165">
        <v>10.589124</v>
      </c>
      <c r="O40" s="165">
        <v>11.285295</v>
      </c>
      <c r="P40" s="165">
        <v>11.332217999999999</v>
      </c>
      <c r="Q40" s="165">
        <v>10.65565</v>
      </c>
      <c r="R40" s="165">
        <v>10.697668</v>
      </c>
      <c r="S40" s="165">
        <v>10.669665999999999</v>
      </c>
      <c r="T40" s="165">
        <v>10.667603</v>
      </c>
      <c r="U40" s="165">
        <v>11.238894</v>
      </c>
      <c r="V40" s="165">
        <v>11.150767999999999</v>
      </c>
      <c r="W40" s="165">
        <v>11.101653000000001</v>
      </c>
      <c r="X40" s="165">
        <v>11.633917</v>
      </c>
    </row>
    <row r="41" spans="1:24" x14ac:dyDescent="0.2">
      <c r="A41" s="164"/>
      <c r="B41" s="164" t="s">
        <v>369</v>
      </c>
      <c r="C41" s="166">
        <v>13.174647999999999</v>
      </c>
      <c r="D41" s="166">
        <v>15.466015000000001</v>
      </c>
      <c r="E41" s="166">
        <v>14.644778000000001</v>
      </c>
      <c r="F41" s="166">
        <v>14.860655</v>
      </c>
      <c r="G41" s="166">
        <v>15.188157</v>
      </c>
      <c r="H41" s="166">
        <v>13.021843000000001</v>
      </c>
      <c r="I41" s="166">
        <v>12.573449</v>
      </c>
      <c r="J41" s="166">
        <v>12.225637000000001</v>
      </c>
      <c r="K41" s="166">
        <v>12.361687999999999</v>
      </c>
      <c r="L41" s="166">
        <v>12.090121999999999</v>
      </c>
      <c r="M41" s="166">
        <v>11.433875</v>
      </c>
      <c r="N41" s="166">
        <v>11.089878000000001</v>
      </c>
      <c r="O41" s="166">
        <v>11.586797000000001</v>
      </c>
      <c r="P41" s="166">
        <v>11.912542999999999</v>
      </c>
      <c r="Q41" s="166">
        <v>10.962216</v>
      </c>
      <c r="R41" s="166">
        <v>10.912944</v>
      </c>
      <c r="S41" s="166">
        <v>11.183021</v>
      </c>
      <c r="T41" s="166">
        <v>10.936327</v>
      </c>
      <c r="U41" s="166">
        <v>11.82151</v>
      </c>
      <c r="V41" s="166">
        <v>11.676966</v>
      </c>
      <c r="W41" s="166">
        <v>11.724432</v>
      </c>
      <c r="X41" s="166">
        <v>12.193160000000001</v>
      </c>
    </row>
    <row r="42" spans="1:24" x14ac:dyDescent="0.2">
      <c r="A42" s="164"/>
      <c r="B42" s="164" t="s">
        <v>370</v>
      </c>
      <c r="C42" s="166">
        <v>11.596893</v>
      </c>
      <c r="D42" s="166">
        <v>11.485151</v>
      </c>
      <c r="E42" s="166">
        <v>13.561379000000001</v>
      </c>
      <c r="F42" s="166">
        <v>13.525287000000001</v>
      </c>
      <c r="G42" s="166">
        <v>12.43341</v>
      </c>
      <c r="H42" s="166">
        <v>11.423378</v>
      </c>
      <c r="I42" s="166">
        <v>11.771088000000001</v>
      </c>
      <c r="J42" s="166">
        <v>11.672427000000001</v>
      </c>
      <c r="K42" s="166">
        <v>11.178890000000001</v>
      </c>
      <c r="L42" s="166">
        <v>10.911925999999999</v>
      </c>
      <c r="M42" s="166">
        <v>9.6342730000000003</v>
      </c>
      <c r="N42" s="166">
        <v>9.8160179999999997</v>
      </c>
      <c r="O42" s="166">
        <v>10.827344999999999</v>
      </c>
      <c r="P42" s="166">
        <v>10.538307</v>
      </c>
      <c r="Q42" s="166">
        <v>10.391565</v>
      </c>
      <c r="R42" s="166">
        <v>10.282044000000001</v>
      </c>
      <c r="S42" s="166">
        <v>10.318593999999999</v>
      </c>
      <c r="T42" s="166">
        <v>10.258266000000001</v>
      </c>
      <c r="U42" s="166">
        <v>10.61544</v>
      </c>
      <c r="V42" s="166">
        <v>10.721892</v>
      </c>
      <c r="W42" s="166">
        <v>10.135726</v>
      </c>
      <c r="X42" s="166">
        <v>9.9385469999999998</v>
      </c>
    </row>
    <row r="43" spans="1:24" x14ac:dyDescent="0.2">
      <c r="A43" s="164"/>
      <c r="B43" s="164" t="s">
        <v>371</v>
      </c>
      <c r="C43" s="166">
        <v>11.809794</v>
      </c>
      <c r="D43" s="166">
        <v>14.452441</v>
      </c>
      <c r="E43" s="166">
        <v>13.819862000000001</v>
      </c>
      <c r="F43" s="166">
        <v>14.442976</v>
      </c>
      <c r="G43" s="166">
        <v>12.803646000000001</v>
      </c>
      <c r="H43" s="166">
        <v>11.766444999999999</v>
      </c>
      <c r="I43" s="166">
        <v>12.274262</v>
      </c>
      <c r="J43" s="166">
        <v>12.171778</v>
      </c>
      <c r="K43" s="166">
        <v>11.463279999999999</v>
      </c>
      <c r="L43" s="166">
        <v>11.179596999999999</v>
      </c>
      <c r="M43" s="166">
        <v>9.8118379999999998</v>
      </c>
      <c r="N43" s="166">
        <v>10.694602</v>
      </c>
      <c r="O43" s="166">
        <v>11.586797000000001</v>
      </c>
      <c r="P43" s="166">
        <v>10.577724</v>
      </c>
      <c r="Q43" s="166">
        <v>10.453554</v>
      </c>
      <c r="R43" s="166">
        <v>10.890286</v>
      </c>
      <c r="S43" s="166">
        <v>10.822321000000001</v>
      </c>
      <c r="T43" s="166">
        <v>10.6599</v>
      </c>
      <c r="U43" s="166">
        <v>11.444710000000001</v>
      </c>
      <c r="V43" s="166">
        <v>11.229578999999999</v>
      </c>
      <c r="W43" s="166">
        <v>10.425361000000001</v>
      </c>
      <c r="X43" s="166">
        <v>12.044038</v>
      </c>
    </row>
    <row r="44" spans="1:24" x14ac:dyDescent="0.2">
      <c r="A44" s="161"/>
      <c r="B44" s="164"/>
      <c r="C44" s="164"/>
      <c r="D44" s="164"/>
      <c r="E44" s="164"/>
      <c r="F44" s="164"/>
      <c r="G44" s="164"/>
      <c r="H44" s="164"/>
      <c r="I44" s="164"/>
      <c r="J44" s="164"/>
      <c r="K44" s="164"/>
      <c r="L44" s="164"/>
      <c r="M44" s="164"/>
      <c r="N44" s="164"/>
      <c r="O44" s="164"/>
      <c r="P44" s="164"/>
      <c r="Q44" s="164"/>
      <c r="R44" s="164"/>
      <c r="S44" s="164"/>
      <c r="T44" s="164"/>
      <c r="U44" s="164"/>
      <c r="V44" s="164"/>
      <c r="W44" s="164"/>
      <c r="X44" s="164"/>
    </row>
    <row r="45" spans="1:24" x14ac:dyDescent="0.2">
      <c r="A45" s="161" t="s">
        <v>377</v>
      </c>
      <c r="B45" s="164" t="s">
        <v>368</v>
      </c>
      <c r="C45" s="165">
        <v>18.110970796875002</v>
      </c>
      <c r="D45" s="165">
        <v>23.733789999999999</v>
      </c>
      <c r="E45" s="165">
        <v>23.073943723076923</v>
      </c>
      <c r="F45" s="165">
        <v>21.137734734375002</v>
      </c>
      <c r="G45" s="165">
        <v>19.909733333333332</v>
      </c>
      <c r="H45" s="165">
        <v>23.264931475409835</v>
      </c>
      <c r="I45" s="165">
        <v>25.935354400000001</v>
      </c>
      <c r="J45" s="165">
        <v>18.819688190476189</v>
      </c>
      <c r="K45" s="165">
        <v>19.000862142857144</v>
      </c>
      <c r="L45" s="165">
        <v>14.000729833333333</v>
      </c>
      <c r="M45" s="165">
        <v>12.816556890625</v>
      </c>
      <c r="N45" s="165">
        <v>17.544347682539684</v>
      </c>
      <c r="O45" s="165">
        <v>20.075881921874998</v>
      </c>
      <c r="P45" s="165">
        <v>25.989396816666666</v>
      </c>
      <c r="Q45" s="165">
        <v>22.526781843750001</v>
      </c>
      <c r="R45" s="165">
        <v>14.239970047619048</v>
      </c>
      <c r="S45" s="165">
        <v>14.71545873015873</v>
      </c>
      <c r="T45" s="165">
        <v>12.588965999999999</v>
      </c>
      <c r="U45" s="165">
        <v>13.854306569230769</v>
      </c>
      <c r="V45" s="165">
        <v>13.381344125</v>
      </c>
      <c r="W45" s="165">
        <v>13.634505603174603</v>
      </c>
      <c r="X45" s="165">
        <v>15.642109754716982</v>
      </c>
    </row>
    <row r="46" spans="1:24" x14ac:dyDescent="0.2">
      <c r="A46" s="164"/>
      <c r="B46" s="164" t="s">
        <v>369</v>
      </c>
      <c r="C46" s="166">
        <v>19.245844000000002</v>
      </c>
      <c r="D46" s="166">
        <v>26.025596</v>
      </c>
      <c r="E46" s="166">
        <v>24.211566000000001</v>
      </c>
      <c r="F46" s="166">
        <v>22.439473</v>
      </c>
      <c r="G46" s="166">
        <v>23.438144999999999</v>
      </c>
      <c r="H46" s="166">
        <v>24.914736999999999</v>
      </c>
      <c r="I46" s="166">
        <v>27.799322</v>
      </c>
      <c r="J46" s="166">
        <v>26.880292000000001</v>
      </c>
      <c r="K46" s="166">
        <v>20.083404999999999</v>
      </c>
      <c r="L46" s="166">
        <v>18.468259</v>
      </c>
      <c r="M46" s="166">
        <v>13.793279</v>
      </c>
      <c r="N46" s="166">
        <v>19.099216999999999</v>
      </c>
      <c r="O46" s="166">
        <v>21.358004999999999</v>
      </c>
      <c r="P46" s="166">
        <v>28.234126</v>
      </c>
      <c r="Q46" s="166">
        <v>26.359126</v>
      </c>
      <c r="R46" s="166">
        <v>14.814700999999999</v>
      </c>
      <c r="S46" s="166">
        <v>15.477665</v>
      </c>
      <c r="T46" s="166">
        <v>15.039089000000001</v>
      </c>
      <c r="U46" s="166">
        <v>15.108029999999999</v>
      </c>
      <c r="V46" s="166">
        <v>14.655523000000001</v>
      </c>
      <c r="W46" s="166">
        <v>14.770443999999999</v>
      </c>
      <c r="X46" s="166">
        <v>17.328144999999999</v>
      </c>
    </row>
    <row r="47" spans="1:24" x14ac:dyDescent="0.2">
      <c r="A47" s="164"/>
      <c r="B47" s="164" t="s">
        <v>370</v>
      </c>
      <c r="C47" s="166">
        <v>15.791461999999999</v>
      </c>
      <c r="D47" s="166">
        <v>16.359711000000001</v>
      </c>
      <c r="E47" s="166">
        <v>22.187816000000002</v>
      </c>
      <c r="F47" s="166">
        <v>19.278538999999999</v>
      </c>
      <c r="G47" s="166">
        <v>16.441991000000002</v>
      </c>
      <c r="H47" s="166">
        <v>17.090523999999998</v>
      </c>
      <c r="I47" s="166">
        <v>23.703530000000001</v>
      </c>
      <c r="J47" s="166">
        <v>17.607731000000001</v>
      </c>
      <c r="K47" s="166">
        <v>17.611041</v>
      </c>
      <c r="L47" s="166">
        <v>12.530549000000001</v>
      </c>
      <c r="M47" s="166">
        <v>10.198574000000001</v>
      </c>
      <c r="N47" s="166">
        <v>10.636456000000001</v>
      </c>
      <c r="O47" s="166">
        <v>18.407916</v>
      </c>
      <c r="P47" s="166">
        <v>21.213314</v>
      </c>
      <c r="Q47" s="166">
        <v>13.243986</v>
      </c>
      <c r="R47" s="166">
        <v>13.238886000000001</v>
      </c>
      <c r="S47" s="166">
        <v>13.957947000000001</v>
      </c>
      <c r="T47" s="166">
        <v>11.447207000000001</v>
      </c>
      <c r="U47" s="166">
        <v>12.401141000000001</v>
      </c>
      <c r="V47" s="166">
        <v>12.657190999999999</v>
      </c>
      <c r="W47" s="166">
        <v>11.954014000000001</v>
      </c>
      <c r="X47" s="166">
        <v>12.169803999999999</v>
      </c>
    </row>
    <row r="48" spans="1:24" x14ac:dyDescent="0.2">
      <c r="A48" s="164"/>
      <c r="B48" s="164" t="s">
        <v>371</v>
      </c>
      <c r="C48" s="166">
        <v>17.107415</v>
      </c>
      <c r="D48" s="166">
        <v>23.917961999999999</v>
      </c>
      <c r="E48" s="166">
        <v>22.282187</v>
      </c>
      <c r="F48" s="166">
        <v>21.975632999999998</v>
      </c>
      <c r="G48" s="166">
        <v>17.158002</v>
      </c>
      <c r="H48" s="166">
        <v>23.687593</v>
      </c>
      <c r="I48" s="166">
        <v>26.912165999999999</v>
      </c>
      <c r="J48" s="166">
        <v>19.279142</v>
      </c>
      <c r="K48" s="166">
        <v>18.269676</v>
      </c>
      <c r="L48" s="166">
        <v>13.009164</v>
      </c>
      <c r="M48" s="166">
        <v>10.529531</v>
      </c>
      <c r="N48" s="166">
        <v>18.022072999999999</v>
      </c>
      <c r="O48" s="166">
        <v>21.358004999999999</v>
      </c>
      <c r="P48" s="166">
        <v>24.642856999999999</v>
      </c>
      <c r="Q48" s="166">
        <v>13.473473</v>
      </c>
      <c r="R48" s="166">
        <v>14.814700999999999</v>
      </c>
      <c r="S48" s="166">
        <v>15.125783999999999</v>
      </c>
      <c r="T48" s="166">
        <v>12.47452</v>
      </c>
      <c r="U48" s="166">
        <v>14.622909999999999</v>
      </c>
      <c r="V48" s="166">
        <v>13.702655999999999</v>
      </c>
      <c r="W48" s="166">
        <v>12.363270999999999</v>
      </c>
      <c r="X48" s="166">
        <v>17.328144999999999</v>
      </c>
    </row>
    <row r="49" spans="1:24" x14ac:dyDescent="0.2">
      <c r="A49" s="161"/>
      <c r="B49" s="164"/>
      <c r="C49" s="164"/>
      <c r="D49" s="164"/>
      <c r="E49" s="164"/>
      <c r="F49" s="164"/>
      <c r="G49" s="164"/>
      <c r="H49" s="164"/>
      <c r="I49" s="164"/>
      <c r="J49" s="164"/>
      <c r="K49" s="164"/>
      <c r="L49" s="164"/>
      <c r="M49" s="164"/>
      <c r="N49" s="164"/>
      <c r="O49" s="164"/>
      <c r="P49" s="164"/>
      <c r="Q49" s="164"/>
      <c r="R49" s="164"/>
      <c r="S49" s="164"/>
      <c r="T49" s="164"/>
      <c r="U49" s="164"/>
      <c r="V49" s="164"/>
      <c r="W49" s="164"/>
      <c r="X49" s="164"/>
    </row>
    <row r="50" spans="1:24" x14ac:dyDescent="0.2">
      <c r="A50" s="161" t="s">
        <v>378</v>
      </c>
      <c r="B50" s="164" t="s">
        <v>368</v>
      </c>
      <c r="C50" s="165">
        <v>13.727152</v>
      </c>
      <c r="D50" s="165">
        <v>15.146534000000001</v>
      </c>
      <c r="E50" s="165">
        <v>14.918241999999999</v>
      </c>
      <c r="F50" s="165">
        <v>14.240254</v>
      </c>
      <c r="G50" s="165">
        <v>12.986302</v>
      </c>
      <c r="H50" s="165">
        <v>12.355601999999999</v>
      </c>
      <c r="I50" s="165">
        <v>13.009102</v>
      </c>
      <c r="J50" s="165">
        <v>13.470715</v>
      </c>
      <c r="K50" s="165">
        <v>13.385037000000001</v>
      </c>
      <c r="L50" s="165">
        <v>12.484209999999999</v>
      </c>
      <c r="M50" s="165">
        <v>11.834847999999999</v>
      </c>
      <c r="N50" s="165">
        <v>10.456547</v>
      </c>
      <c r="O50" s="165">
        <v>11.872875000000001</v>
      </c>
      <c r="P50" s="165">
        <v>12.394159999999999</v>
      </c>
      <c r="Q50" s="165">
        <v>11.500462000000001</v>
      </c>
      <c r="R50" s="165">
        <v>11.524165999999999</v>
      </c>
      <c r="S50" s="165">
        <v>11.479162000000001</v>
      </c>
      <c r="T50" s="165">
        <v>11.749452</v>
      </c>
      <c r="U50" s="165">
        <v>13.006392999999999</v>
      </c>
      <c r="V50" s="165">
        <v>12.981104999999999</v>
      </c>
      <c r="W50" s="165">
        <v>12.894902</v>
      </c>
      <c r="X50" s="165">
        <v>13.560216</v>
      </c>
    </row>
    <row r="51" spans="1:24" x14ac:dyDescent="0.2">
      <c r="A51" s="164"/>
      <c r="B51" s="164" t="s">
        <v>369</v>
      </c>
      <c r="C51" s="166">
        <v>14.842577</v>
      </c>
      <c r="D51" s="166">
        <v>16.490105</v>
      </c>
      <c r="E51" s="166">
        <v>15.953601000000001</v>
      </c>
      <c r="F51" s="166">
        <v>15.387025</v>
      </c>
      <c r="G51" s="166">
        <v>16.254567000000002</v>
      </c>
      <c r="H51" s="166">
        <v>12.782764</v>
      </c>
      <c r="I51" s="166">
        <v>13.698945999999999</v>
      </c>
      <c r="J51" s="166">
        <v>13.955425</v>
      </c>
      <c r="K51" s="166">
        <v>14.244138</v>
      </c>
      <c r="L51" s="166">
        <v>13.592832</v>
      </c>
      <c r="M51" s="166">
        <v>12.635263</v>
      </c>
      <c r="N51" s="166">
        <v>11.249991</v>
      </c>
      <c r="O51" s="166">
        <v>12.521227</v>
      </c>
      <c r="P51" s="166">
        <v>13.328986</v>
      </c>
      <c r="Q51" s="166">
        <v>11.935615</v>
      </c>
      <c r="R51" s="166">
        <v>11.920385</v>
      </c>
      <c r="S51" s="166">
        <v>12.402945000000001</v>
      </c>
      <c r="T51" s="166">
        <v>12.256807</v>
      </c>
      <c r="U51" s="166">
        <v>14.067159</v>
      </c>
      <c r="V51" s="166">
        <v>13.803568</v>
      </c>
      <c r="W51" s="166">
        <v>13.939603</v>
      </c>
      <c r="X51" s="166">
        <v>14.565920999999999</v>
      </c>
    </row>
    <row r="52" spans="1:24" x14ac:dyDescent="0.2">
      <c r="A52" s="164"/>
      <c r="B52" s="164" t="s">
        <v>370</v>
      </c>
      <c r="C52" s="166">
        <v>12.007192999999999</v>
      </c>
      <c r="D52" s="166">
        <v>12.506624</v>
      </c>
      <c r="E52" s="166">
        <v>14.380735</v>
      </c>
      <c r="F52" s="166">
        <v>13.052446</v>
      </c>
      <c r="G52" s="166">
        <v>10.36711</v>
      </c>
      <c r="H52" s="166">
        <v>10.959054999999999</v>
      </c>
      <c r="I52" s="166">
        <v>12.22602</v>
      </c>
      <c r="J52" s="166">
        <v>12.900611</v>
      </c>
      <c r="K52" s="166">
        <v>12.266043</v>
      </c>
      <c r="L52" s="166">
        <v>11.784947000000001</v>
      </c>
      <c r="M52" s="166">
        <v>9.5426319999999993</v>
      </c>
      <c r="N52" s="166">
        <v>9.3717579999999998</v>
      </c>
      <c r="O52" s="166">
        <v>10.904771</v>
      </c>
      <c r="P52" s="166">
        <v>11.182074999999999</v>
      </c>
      <c r="Q52" s="166">
        <v>11.114134</v>
      </c>
      <c r="R52" s="166">
        <v>11.130850000000001</v>
      </c>
      <c r="S52" s="166">
        <v>10.822478</v>
      </c>
      <c r="T52" s="166">
        <v>10.886245000000001</v>
      </c>
      <c r="U52" s="166">
        <v>11.816095000000001</v>
      </c>
      <c r="V52" s="166">
        <v>12.290467</v>
      </c>
      <c r="W52" s="166">
        <v>11.317351</v>
      </c>
      <c r="X52" s="166">
        <v>11.016164</v>
      </c>
    </row>
    <row r="53" spans="1:24" x14ac:dyDescent="0.2">
      <c r="A53" s="164"/>
      <c r="B53" s="164" t="s">
        <v>371</v>
      </c>
      <c r="C53" s="166">
        <v>13.078222999999999</v>
      </c>
      <c r="D53" s="166">
        <v>16.042573000000001</v>
      </c>
      <c r="E53" s="166">
        <v>14.409336</v>
      </c>
      <c r="F53" s="166">
        <v>15.131975000000001</v>
      </c>
      <c r="G53" s="166">
        <v>11.664135999999999</v>
      </c>
      <c r="H53" s="166">
        <v>12.289173999999999</v>
      </c>
      <c r="I53" s="166">
        <v>13.234068000000001</v>
      </c>
      <c r="J53" s="166">
        <v>13.890757000000001</v>
      </c>
      <c r="K53" s="166">
        <v>12.724769999999999</v>
      </c>
      <c r="L53" s="166">
        <v>12.180028</v>
      </c>
      <c r="M53" s="166">
        <v>9.8429400000000005</v>
      </c>
      <c r="N53" s="166">
        <v>10.6762</v>
      </c>
      <c r="O53" s="166">
        <v>12.521227</v>
      </c>
      <c r="P53" s="166">
        <v>11.249997</v>
      </c>
      <c r="Q53" s="166">
        <v>11.407619</v>
      </c>
      <c r="R53" s="166">
        <v>11.891116999999999</v>
      </c>
      <c r="S53" s="166">
        <v>11.755846</v>
      </c>
      <c r="T53" s="166">
        <v>11.978389</v>
      </c>
      <c r="U53" s="166">
        <v>13.602588000000001</v>
      </c>
      <c r="V53" s="166">
        <v>13.177104</v>
      </c>
      <c r="W53" s="166">
        <v>11.725484</v>
      </c>
      <c r="X53" s="166">
        <v>14.490251000000001</v>
      </c>
    </row>
    <row r="54" spans="1:24" x14ac:dyDescent="0.2">
      <c r="A54" s="161"/>
      <c r="B54" s="164"/>
      <c r="C54" s="164"/>
      <c r="D54" s="164"/>
      <c r="E54" s="164"/>
      <c r="F54" s="164"/>
      <c r="G54" s="164"/>
      <c r="H54" s="164"/>
      <c r="I54" s="164"/>
      <c r="J54" s="164"/>
      <c r="K54" s="164"/>
      <c r="L54" s="164"/>
      <c r="M54" s="164"/>
      <c r="N54" s="164"/>
      <c r="O54" s="164"/>
      <c r="P54" s="164"/>
      <c r="Q54" s="164"/>
      <c r="R54" s="164"/>
      <c r="S54" s="164"/>
      <c r="T54" s="164"/>
      <c r="U54" s="164"/>
      <c r="V54" s="164"/>
      <c r="W54" s="164"/>
      <c r="X54" s="164"/>
    </row>
    <row r="55" spans="1:24" x14ac:dyDescent="0.2">
      <c r="A55" s="161" t="s">
        <v>379</v>
      </c>
      <c r="B55" s="164" t="s">
        <v>368</v>
      </c>
      <c r="C55" s="165">
        <v>17.183376062499999</v>
      </c>
      <c r="D55" s="165">
        <v>18.126795688524592</v>
      </c>
      <c r="E55" s="165">
        <v>17.362735046153848</v>
      </c>
      <c r="F55" s="165">
        <v>18.158154750000001</v>
      </c>
      <c r="G55" s="165">
        <v>17.252377142857142</v>
      </c>
      <c r="H55" s="165">
        <v>19.275297098360657</v>
      </c>
      <c r="I55" s="165">
        <v>21.395365953846152</v>
      </c>
      <c r="J55" s="165">
        <v>16.201160158730158</v>
      </c>
      <c r="K55" s="165">
        <v>16.406473682539684</v>
      </c>
      <c r="L55" s="165">
        <v>14.08191345</v>
      </c>
      <c r="M55" s="165">
        <v>13.065154140624999</v>
      </c>
      <c r="N55" s="165">
        <v>11.301011285714285</v>
      </c>
      <c r="O55" s="165">
        <v>12.7834360625</v>
      </c>
      <c r="P55" s="165">
        <v>15.376220500000001</v>
      </c>
      <c r="Q55" s="165">
        <v>14.62469903125</v>
      </c>
      <c r="R55" s="165">
        <v>14.474675777777778</v>
      </c>
      <c r="S55" s="165">
        <v>14.95563173015873</v>
      </c>
      <c r="T55" s="165">
        <v>15.089400387096774</v>
      </c>
      <c r="U55" s="165">
        <v>16.931269923076922</v>
      </c>
      <c r="V55" s="165">
        <v>15.988113078125</v>
      </c>
      <c r="W55" s="165">
        <v>16.277494015873017</v>
      </c>
      <c r="X55" s="165">
        <v>16.086114301886791</v>
      </c>
    </row>
    <row r="56" spans="1:24" x14ac:dyDescent="0.2">
      <c r="A56" s="164"/>
      <c r="B56" s="164" t="s">
        <v>369</v>
      </c>
      <c r="C56" s="166">
        <v>18.260124000000001</v>
      </c>
      <c r="D56" s="166">
        <v>19.583801000000001</v>
      </c>
      <c r="E56" s="166">
        <v>18.218775999999998</v>
      </c>
      <c r="F56" s="166">
        <v>19.429321000000002</v>
      </c>
      <c r="G56" s="166">
        <v>20.309850999999998</v>
      </c>
      <c r="H56" s="166">
        <v>20.553408000000001</v>
      </c>
      <c r="I56" s="166">
        <v>22.933045</v>
      </c>
      <c r="J56" s="166">
        <v>22.174892</v>
      </c>
      <c r="K56" s="166">
        <v>17.341204999999999</v>
      </c>
      <c r="L56" s="166">
        <v>15.946593</v>
      </c>
      <c r="M56" s="166">
        <v>14.060821000000001</v>
      </c>
      <c r="N56" s="166">
        <v>12.161538999999999</v>
      </c>
      <c r="O56" s="166">
        <v>13.599836</v>
      </c>
      <c r="P56" s="166">
        <v>16.590399000000001</v>
      </c>
      <c r="Q56" s="166">
        <v>15.488647</v>
      </c>
      <c r="R56" s="166">
        <v>15.056494000000001</v>
      </c>
      <c r="S56" s="166">
        <v>15.730278</v>
      </c>
      <c r="T56" s="166">
        <v>15.693425</v>
      </c>
      <c r="U56" s="166">
        <v>18.463439000000001</v>
      </c>
      <c r="V56" s="166">
        <v>17.910432</v>
      </c>
      <c r="W56" s="166">
        <v>17.633628999999999</v>
      </c>
      <c r="X56" s="166">
        <v>17.482562999999999</v>
      </c>
    </row>
    <row r="57" spans="1:24" x14ac:dyDescent="0.2">
      <c r="A57" s="164"/>
      <c r="B57" s="164" t="s">
        <v>370</v>
      </c>
      <c r="C57" s="166">
        <v>14.982666</v>
      </c>
      <c r="D57" s="166">
        <v>15.521811</v>
      </c>
      <c r="E57" s="166">
        <v>16.695938999999999</v>
      </c>
      <c r="F57" s="166">
        <v>16.569697999999999</v>
      </c>
      <c r="G57" s="166">
        <v>14.247475</v>
      </c>
      <c r="H57" s="166">
        <v>14.809448</v>
      </c>
      <c r="I57" s="166">
        <v>19.554223</v>
      </c>
      <c r="J57" s="166">
        <v>15.203561000000001</v>
      </c>
      <c r="K57" s="166">
        <v>15.206419</v>
      </c>
      <c r="L57" s="166">
        <v>12.773599000000001</v>
      </c>
      <c r="M57" s="166">
        <v>10.396390999999999</v>
      </c>
      <c r="N57" s="166">
        <v>10.193479</v>
      </c>
      <c r="O57" s="166">
        <v>11.721349</v>
      </c>
      <c r="P57" s="166">
        <v>13.507702999999999</v>
      </c>
      <c r="Q57" s="166">
        <v>13.532102</v>
      </c>
      <c r="R57" s="166">
        <v>13.526892</v>
      </c>
      <c r="S57" s="166">
        <v>14.185757000000001</v>
      </c>
      <c r="T57" s="166">
        <v>13.989566999999999</v>
      </c>
      <c r="U57" s="166">
        <v>15.155364000000001</v>
      </c>
      <c r="V57" s="166">
        <v>15.110732</v>
      </c>
      <c r="W57" s="166">
        <v>14.271246</v>
      </c>
      <c r="X57" s="166">
        <v>13.72259</v>
      </c>
    </row>
    <row r="58" spans="1:24" x14ac:dyDescent="0.2">
      <c r="A58" s="164"/>
      <c r="B58" s="164" t="s">
        <v>371</v>
      </c>
      <c r="C58" s="166">
        <v>16.231218999999999</v>
      </c>
      <c r="D58" s="166">
        <v>17.997844000000001</v>
      </c>
      <c r="E58" s="166">
        <v>16.766952</v>
      </c>
      <c r="F58" s="166">
        <v>19.042541</v>
      </c>
      <c r="G58" s="166">
        <v>14.86792</v>
      </c>
      <c r="H58" s="166">
        <v>19.541076</v>
      </c>
      <c r="I58" s="166">
        <v>22.201186</v>
      </c>
      <c r="J58" s="166">
        <v>16.646757000000001</v>
      </c>
      <c r="K58" s="166">
        <v>15.775124</v>
      </c>
      <c r="L58" s="166">
        <v>13.261498</v>
      </c>
      <c r="M58" s="166">
        <v>10.733768</v>
      </c>
      <c r="N58" s="166">
        <v>11.475661000000001</v>
      </c>
      <c r="O58" s="166">
        <v>13.599836</v>
      </c>
      <c r="P58" s="166">
        <v>14.480165</v>
      </c>
      <c r="Q58" s="166">
        <v>13.766582</v>
      </c>
      <c r="R58" s="166">
        <v>15.056494000000001</v>
      </c>
      <c r="S58" s="166">
        <v>15.372654000000001</v>
      </c>
      <c r="T58" s="166">
        <v>15.245041000000001</v>
      </c>
      <c r="U58" s="166">
        <v>17.870576</v>
      </c>
      <c r="V58" s="166">
        <v>16.358854999999998</v>
      </c>
      <c r="W58" s="166">
        <v>14.759836</v>
      </c>
      <c r="X58" s="166">
        <v>17.482562999999999</v>
      </c>
    </row>
    <row r="59" spans="1:24" x14ac:dyDescent="0.2">
      <c r="A59" s="161"/>
      <c r="B59" s="164"/>
      <c r="C59" s="164"/>
      <c r="D59" s="164"/>
      <c r="E59" s="164"/>
      <c r="F59" s="164"/>
      <c r="G59" s="164"/>
      <c r="H59" s="164"/>
      <c r="I59" s="164"/>
      <c r="J59" s="164"/>
      <c r="K59" s="164"/>
      <c r="L59" s="164"/>
      <c r="M59" s="164"/>
      <c r="N59" s="164"/>
      <c r="O59" s="164"/>
      <c r="P59" s="164"/>
      <c r="Q59" s="164"/>
      <c r="R59" s="164"/>
      <c r="S59" s="164"/>
      <c r="T59" s="164"/>
      <c r="U59" s="164"/>
      <c r="V59" s="164"/>
      <c r="W59" s="164"/>
      <c r="X59" s="164"/>
    </row>
    <row r="60" spans="1:24" x14ac:dyDescent="0.2">
      <c r="A60" s="161" t="s">
        <v>71</v>
      </c>
      <c r="B60" s="164" t="s">
        <v>368</v>
      </c>
      <c r="C60" s="165">
        <v>1.6824083750000001</v>
      </c>
      <c r="D60" s="165">
        <v>1.6880887213114755</v>
      </c>
      <c r="E60" s="165">
        <v>1.610555876923077</v>
      </c>
      <c r="F60" s="165">
        <v>1.7559403124999999</v>
      </c>
      <c r="G60" s="165">
        <v>1.6725017777777778</v>
      </c>
      <c r="H60" s="165">
        <v>1.4121100327868852</v>
      </c>
      <c r="I60" s="165">
        <v>1.5175412153846153</v>
      </c>
      <c r="J60" s="165">
        <v>1.6000717777777778</v>
      </c>
      <c r="K60" s="165">
        <v>1.6519013174603174</v>
      </c>
      <c r="L60" s="165">
        <v>1.3124955333333332</v>
      </c>
      <c r="M60" s="165">
        <v>1.2197007343749999</v>
      </c>
      <c r="N60" s="165">
        <v>1.203775492063492</v>
      </c>
      <c r="O60" s="165">
        <v>1.3669833437500001</v>
      </c>
      <c r="P60" s="165">
        <v>1.5773866999999999</v>
      </c>
      <c r="Q60" s="165">
        <v>1.5236947968750001</v>
      </c>
      <c r="R60" s="165">
        <v>1.6376419365079364</v>
      </c>
      <c r="S60" s="165">
        <v>1.6923246507936507</v>
      </c>
      <c r="T60" s="165">
        <v>1.7987441290322581</v>
      </c>
      <c r="U60" s="165">
        <v>2.0292734461538462</v>
      </c>
      <c r="V60" s="165">
        <v>2.11100025</v>
      </c>
      <c r="W60" s="165">
        <v>2.1563547142857145</v>
      </c>
      <c r="X60" s="165">
        <v>2.1195202264150943</v>
      </c>
    </row>
    <row r="61" spans="1:24" x14ac:dyDescent="0.2">
      <c r="A61" s="164"/>
      <c r="B61" s="164" t="s">
        <v>369</v>
      </c>
      <c r="C61" s="166">
        <v>1.7878320000000001</v>
      </c>
      <c r="D61" s="166">
        <v>1.816581</v>
      </c>
      <c r="E61" s="166">
        <v>1.689962</v>
      </c>
      <c r="F61" s="166">
        <v>1.883542</v>
      </c>
      <c r="G61" s="166">
        <v>1.9689030000000001</v>
      </c>
      <c r="H61" s="166">
        <v>1.4854320000000001</v>
      </c>
      <c r="I61" s="166">
        <v>1.6266069999999999</v>
      </c>
      <c r="J61" s="166">
        <v>1.6760949999999999</v>
      </c>
      <c r="K61" s="166">
        <v>1.746016</v>
      </c>
      <c r="L61" s="166">
        <v>1.6055980000000001</v>
      </c>
      <c r="M61" s="166">
        <v>1.312651</v>
      </c>
      <c r="N61" s="166">
        <v>1.300481</v>
      </c>
      <c r="O61" s="166">
        <v>1.4542839999999999</v>
      </c>
      <c r="P61" s="166">
        <v>1.7060660000000001</v>
      </c>
      <c r="Q61" s="166">
        <v>1.6016900000000001</v>
      </c>
      <c r="R61" s="166">
        <v>1.703738</v>
      </c>
      <c r="S61" s="166">
        <v>1.779981</v>
      </c>
      <c r="T61" s="166">
        <v>1.8809130000000001</v>
      </c>
      <c r="U61" s="166">
        <v>2.2129089999999998</v>
      </c>
      <c r="V61" s="166">
        <v>2.2036150000000001</v>
      </c>
      <c r="W61" s="166">
        <v>2.3360080000000001</v>
      </c>
      <c r="X61" s="166">
        <v>2.3017799999999999</v>
      </c>
    </row>
    <row r="62" spans="1:24" x14ac:dyDescent="0.2">
      <c r="A62" s="164"/>
      <c r="B62" s="164" t="s">
        <v>370</v>
      </c>
      <c r="C62" s="166">
        <v>1.466939</v>
      </c>
      <c r="D62" s="166">
        <v>1.5197259999999999</v>
      </c>
      <c r="E62" s="166">
        <v>1.5487040000000001</v>
      </c>
      <c r="F62" s="166">
        <v>1.536994</v>
      </c>
      <c r="G62" s="166">
        <v>1.381197</v>
      </c>
      <c r="H62" s="166">
        <v>1.365815</v>
      </c>
      <c r="I62" s="166">
        <v>1.386952</v>
      </c>
      <c r="J62" s="166">
        <v>1.5307850000000001</v>
      </c>
      <c r="K62" s="166">
        <v>1.5310729999999999</v>
      </c>
      <c r="L62" s="166">
        <v>1.192483</v>
      </c>
      <c r="M62" s="166">
        <v>0.97055800000000003</v>
      </c>
      <c r="N62" s="166">
        <v>1.012229</v>
      </c>
      <c r="O62" s="166">
        <v>1.2534099999999999</v>
      </c>
      <c r="P62" s="166">
        <v>1.4444319999999999</v>
      </c>
      <c r="Q62" s="166">
        <v>1.4559899999999999</v>
      </c>
      <c r="R62" s="166">
        <v>1.5225139999999999</v>
      </c>
      <c r="S62" s="166">
        <v>1.605208</v>
      </c>
      <c r="T62" s="166">
        <v>1.6767000000000001</v>
      </c>
      <c r="U62" s="166">
        <v>1.816425</v>
      </c>
      <c r="V62" s="166">
        <v>2.0017879999999999</v>
      </c>
      <c r="W62" s="166">
        <v>1.8905780000000001</v>
      </c>
      <c r="X62" s="166">
        <v>1.8067359999999999</v>
      </c>
    </row>
    <row r="63" spans="1:24" x14ac:dyDescent="0.2">
      <c r="A63" s="164"/>
      <c r="B63" s="164" t="s">
        <v>371</v>
      </c>
      <c r="C63" s="166">
        <v>1.5891839999999999</v>
      </c>
      <c r="D63" s="166">
        <v>1.669468</v>
      </c>
      <c r="E63" s="166">
        <v>1.555291</v>
      </c>
      <c r="F63" s="166">
        <v>1.8460460000000001</v>
      </c>
      <c r="G63" s="166">
        <v>1.4413450000000001</v>
      </c>
      <c r="H63" s="166">
        <v>1.3860189999999999</v>
      </c>
      <c r="I63" s="166">
        <v>1.574697</v>
      </c>
      <c r="J63" s="166">
        <v>1.6760949999999999</v>
      </c>
      <c r="K63" s="166">
        <v>1.588333</v>
      </c>
      <c r="L63" s="166">
        <v>1.23803</v>
      </c>
      <c r="M63" s="166">
        <v>1.002054</v>
      </c>
      <c r="N63" s="166">
        <v>1.2271380000000001</v>
      </c>
      <c r="O63" s="166">
        <v>1.4542839999999999</v>
      </c>
      <c r="P63" s="166">
        <v>1.473789</v>
      </c>
      <c r="Q63" s="166">
        <v>1.5494920000000001</v>
      </c>
      <c r="R63" s="166">
        <v>1.703738</v>
      </c>
      <c r="S63" s="166">
        <v>1.7395130000000001</v>
      </c>
      <c r="T63" s="166">
        <v>1.8271729999999999</v>
      </c>
      <c r="U63" s="166">
        <v>2.1418529999999998</v>
      </c>
      <c r="V63" s="166">
        <v>2.1671330000000002</v>
      </c>
      <c r="W63" s="166">
        <v>1.955303</v>
      </c>
      <c r="X63" s="166">
        <v>2.3017799999999999</v>
      </c>
    </row>
    <row r="64" spans="1:24" x14ac:dyDescent="0.2">
      <c r="A64" s="161"/>
      <c r="B64" s="164"/>
      <c r="C64" s="164"/>
      <c r="D64" s="164"/>
      <c r="E64" s="164"/>
      <c r="F64" s="164"/>
      <c r="G64" s="164"/>
      <c r="H64" s="164"/>
      <c r="I64" s="164"/>
      <c r="J64" s="164"/>
      <c r="K64" s="164"/>
      <c r="L64" s="164"/>
      <c r="M64" s="164"/>
      <c r="N64" s="164"/>
      <c r="O64" s="164"/>
      <c r="P64" s="164"/>
      <c r="Q64" s="164"/>
      <c r="R64" s="164"/>
      <c r="S64" s="164"/>
      <c r="T64" s="164"/>
      <c r="U64" s="164"/>
      <c r="V64" s="164"/>
      <c r="W64" s="164"/>
      <c r="X64" s="164"/>
    </row>
    <row r="65" spans="1:24" x14ac:dyDescent="0.2">
      <c r="A65" s="161" t="s">
        <v>380</v>
      </c>
      <c r="B65" s="164" t="s">
        <v>368</v>
      </c>
      <c r="C65" s="165">
        <v>3.042651625</v>
      </c>
      <c r="D65" s="165">
        <v>3.1256554918032786</v>
      </c>
      <c r="E65" s="165">
        <v>2.9877224</v>
      </c>
      <c r="F65" s="165">
        <v>3.310711859375</v>
      </c>
      <c r="G65" s="165">
        <v>3.1563583809523807</v>
      </c>
      <c r="H65" s="165">
        <v>2.5264967540983605</v>
      </c>
      <c r="I65" s="165">
        <v>2.6951101999999998</v>
      </c>
      <c r="J65" s="165">
        <v>2.6900381746031745</v>
      </c>
      <c r="K65" s="165">
        <v>2.7695538730158731</v>
      </c>
      <c r="L65" s="165">
        <v>2.0283449500000001</v>
      </c>
      <c r="M65" s="165">
        <v>1.85441996875</v>
      </c>
      <c r="N65" s="165">
        <v>1.9754960634920635</v>
      </c>
      <c r="O65" s="165">
        <v>2.2478711093750001</v>
      </c>
      <c r="P65" s="165">
        <v>2.7921296166666667</v>
      </c>
      <c r="Q65" s="165">
        <v>2.7233321718750001</v>
      </c>
      <c r="R65" s="165">
        <v>2.9500553015873017</v>
      </c>
      <c r="S65" s="165">
        <v>3.0485610158730161</v>
      </c>
      <c r="T65" s="165">
        <v>3.1840532419354837</v>
      </c>
      <c r="U65" s="165">
        <v>3.585714246153846</v>
      </c>
      <c r="V65" s="165">
        <v>3.7788933281250001</v>
      </c>
      <c r="W65" s="165">
        <v>3.8617063174603175</v>
      </c>
      <c r="X65" s="165">
        <v>3.7629645094339623</v>
      </c>
    </row>
    <row r="66" spans="1:24" x14ac:dyDescent="0.2">
      <c r="A66" s="164"/>
      <c r="B66" s="164" t="s">
        <v>369</v>
      </c>
      <c r="C66" s="166">
        <v>3.233311</v>
      </c>
      <c r="D66" s="166">
        <v>3.3699159999999999</v>
      </c>
      <c r="E66" s="166">
        <v>3.135027</v>
      </c>
      <c r="F66" s="166">
        <v>3.5546350000000002</v>
      </c>
      <c r="G66" s="166">
        <v>3.7157300000000002</v>
      </c>
      <c r="H66" s="166">
        <v>2.8033190000000001</v>
      </c>
      <c r="I66" s="166">
        <v>2.8888069999999999</v>
      </c>
      <c r="J66" s="166">
        <v>2.8101159999999998</v>
      </c>
      <c r="K66" s="166">
        <v>2.9273449999999999</v>
      </c>
      <c r="L66" s="166">
        <v>2.6919219999999999</v>
      </c>
      <c r="M66" s="166">
        <v>1.995741</v>
      </c>
      <c r="N66" s="166">
        <v>2.1385149999999999</v>
      </c>
      <c r="O66" s="166">
        <v>2.391429</v>
      </c>
      <c r="P66" s="166">
        <v>3.0416470000000002</v>
      </c>
      <c r="Q66" s="166">
        <v>2.8852899999999999</v>
      </c>
      <c r="R66" s="166">
        <v>3.069121</v>
      </c>
      <c r="S66" s="166">
        <v>3.2064650000000001</v>
      </c>
      <c r="T66" s="166">
        <v>3.323563</v>
      </c>
      <c r="U66" s="166">
        <v>3.9101979999999998</v>
      </c>
      <c r="V66" s="166">
        <v>3.946342</v>
      </c>
      <c r="W66" s="166">
        <v>4.1834389999999999</v>
      </c>
      <c r="X66" s="166">
        <v>4.0815570000000001</v>
      </c>
    </row>
    <row r="67" spans="1:24" x14ac:dyDescent="0.2">
      <c r="A67" s="164"/>
      <c r="B67" s="164" t="s">
        <v>370</v>
      </c>
      <c r="C67" s="166">
        <v>2.6529729999999998</v>
      </c>
      <c r="D67" s="166">
        <v>2.7484389999999999</v>
      </c>
      <c r="E67" s="166">
        <v>2.8729819999999999</v>
      </c>
      <c r="F67" s="166">
        <v>2.8512590000000002</v>
      </c>
      <c r="G67" s="166">
        <v>2.6066050000000001</v>
      </c>
      <c r="H67" s="166">
        <v>2.4256479999999998</v>
      </c>
      <c r="I67" s="166">
        <v>2.463187</v>
      </c>
      <c r="J67" s="166">
        <v>2.5664920000000002</v>
      </c>
      <c r="K67" s="166">
        <v>2.5669740000000001</v>
      </c>
      <c r="L67" s="166">
        <v>1.8130379999999999</v>
      </c>
      <c r="M67" s="166">
        <v>1.4756260000000001</v>
      </c>
      <c r="N67" s="166">
        <v>1.5389820000000001</v>
      </c>
      <c r="O67" s="166">
        <v>2.0611109999999999</v>
      </c>
      <c r="P67" s="166">
        <v>2.3752279999999999</v>
      </c>
      <c r="Q67" s="166">
        <v>2.5958000000000001</v>
      </c>
      <c r="R67" s="166">
        <v>2.7426629999999999</v>
      </c>
      <c r="S67" s="166">
        <v>2.891629</v>
      </c>
      <c r="T67" s="166">
        <v>2.9627189999999999</v>
      </c>
      <c r="U67" s="166">
        <v>3.2096119999999999</v>
      </c>
      <c r="V67" s="166">
        <v>3.5849009999999999</v>
      </c>
      <c r="W67" s="166">
        <v>3.3857400000000002</v>
      </c>
      <c r="X67" s="166">
        <v>3.2037369999999998</v>
      </c>
    </row>
    <row r="68" spans="1:24" x14ac:dyDescent="0.2">
      <c r="A68" s="164"/>
      <c r="B68" s="164" t="s">
        <v>371</v>
      </c>
      <c r="C68" s="166">
        <v>2.8740540000000001</v>
      </c>
      <c r="D68" s="166">
        <v>3.09701</v>
      </c>
      <c r="E68" s="166">
        <v>2.885202</v>
      </c>
      <c r="F68" s="166">
        <v>3.483873</v>
      </c>
      <c r="G68" s="166">
        <v>2.7201170000000001</v>
      </c>
      <c r="H68" s="166">
        <v>2.4615309999999999</v>
      </c>
      <c r="I68" s="166">
        <v>2.7966169999999999</v>
      </c>
      <c r="J68" s="166">
        <v>2.8101159999999998</v>
      </c>
      <c r="K68" s="166">
        <v>2.6629770000000001</v>
      </c>
      <c r="L68" s="166">
        <v>1.882288</v>
      </c>
      <c r="M68" s="166">
        <v>1.523512</v>
      </c>
      <c r="N68" s="166">
        <v>2.017909</v>
      </c>
      <c r="O68" s="166">
        <v>2.391429</v>
      </c>
      <c r="P68" s="166">
        <v>2.6275339999999998</v>
      </c>
      <c r="Q68" s="166">
        <v>2.7912620000000001</v>
      </c>
      <c r="R68" s="166">
        <v>3.069121</v>
      </c>
      <c r="S68" s="166">
        <v>3.1335670000000002</v>
      </c>
      <c r="T68" s="166">
        <v>3.2286039999999998</v>
      </c>
      <c r="U68" s="166">
        <v>3.7846410000000001</v>
      </c>
      <c r="V68" s="166">
        <v>3.8810090000000002</v>
      </c>
      <c r="W68" s="166">
        <v>3.5016539999999998</v>
      </c>
      <c r="X68" s="166">
        <v>4.0815570000000001</v>
      </c>
    </row>
    <row r="69" spans="1:24" x14ac:dyDescent="0.2">
      <c r="A69" s="161"/>
      <c r="B69" s="164"/>
      <c r="C69" s="164"/>
      <c r="D69" s="164"/>
      <c r="E69" s="164"/>
      <c r="F69" s="164"/>
      <c r="G69" s="164"/>
      <c r="H69" s="164"/>
      <c r="I69" s="164"/>
      <c r="J69" s="164"/>
      <c r="K69" s="164"/>
      <c r="L69" s="164"/>
      <c r="M69" s="164"/>
      <c r="N69" s="164"/>
      <c r="O69" s="164"/>
      <c r="P69" s="164"/>
      <c r="Q69" s="164"/>
      <c r="R69" s="164"/>
      <c r="S69" s="164"/>
      <c r="T69" s="164"/>
      <c r="U69" s="164"/>
      <c r="V69" s="164"/>
      <c r="W69" s="164"/>
      <c r="X69" s="164"/>
    </row>
    <row r="70" spans="1:24" x14ac:dyDescent="0.2">
      <c r="A70" s="161" t="s">
        <v>381</v>
      </c>
      <c r="B70" s="164" t="s">
        <v>368</v>
      </c>
      <c r="C70" s="165">
        <v>6.9544300000000003</v>
      </c>
      <c r="D70" s="165">
        <v>7.6439180000000002</v>
      </c>
      <c r="E70" s="165">
        <v>7.2802410000000002</v>
      </c>
      <c r="F70" s="165">
        <v>7.2914250000000003</v>
      </c>
      <c r="G70" s="165">
        <v>5.8187160000000002</v>
      </c>
      <c r="H70" s="165">
        <v>5.6518870000000003</v>
      </c>
      <c r="I70" s="165">
        <v>6.1628759999999998</v>
      </c>
      <c r="J70" s="165">
        <v>6.4577280000000004</v>
      </c>
      <c r="K70" s="165">
        <v>6.7543819999999997</v>
      </c>
      <c r="L70" s="165">
        <v>6.470065</v>
      </c>
      <c r="M70" s="165">
        <v>6.0121060000000002</v>
      </c>
      <c r="N70" s="165">
        <v>5.0876469999999996</v>
      </c>
      <c r="O70" s="165">
        <v>5.6980300000000002</v>
      </c>
      <c r="P70" s="165">
        <v>6.1353340000000003</v>
      </c>
      <c r="Q70" s="165">
        <v>5.8615389999999996</v>
      </c>
      <c r="R70" s="165">
        <v>6.0941200000000002</v>
      </c>
      <c r="S70" s="165">
        <v>6.2432480000000004</v>
      </c>
      <c r="T70" s="165">
        <v>6.3583299999999996</v>
      </c>
      <c r="U70" s="165">
        <v>6.8314690000000002</v>
      </c>
      <c r="V70" s="165">
        <v>6.6987540000000001</v>
      </c>
      <c r="W70" s="165">
        <v>6.9154099999999996</v>
      </c>
      <c r="X70" s="165">
        <v>7.3931820000000004</v>
      </c>
    </row>
    <row r="71" spans="1:24" x14ac:dyDescent="0.2">
      <c r="A71" s="164"/>
      <c r="B71" s="164" t="s">
        <v>369</v>
      </c>
      <c r="C71" s="166">
        <v>7.4302599999999996</v>
      </c>
      <c r="D71" s="166">
        <v>9.9663090000000008</v>
      </c>
      <c r="E71" s="166">
        <v>7.6463619999999999</v>
      </c>
      <c r="F71" s="166">
        <v>7.8204320000000003</v>
      </c>
      <c r="G71" s="166">
        <v>7.8528229999999999</v>
      </c>
      <c r="H71" s="166">
        <v>5.9458859999999998</v>
      </c>
      <c r="I71" s="166">
        <v>6.5477939999999997</v>
      </c>
      <c r="J71" s="166">
        <v>6.7418909999999999</v>
      </c>
      <c r="K71" s="166">
        <v>7.117057</v>
      </c>
      <c r="L71" s="166">
        <v>7.2189350000000001</v>
      </c>
      <c r="M71" s="166">
        <v>6.470027</v>
      </c>
      <c r="N71" s="166">
        <v>5.4771739999999998</v>
      </c>
      <c r="O71" s="166">
        <v>6.0717650000000001</v>
      </c>
      <c r="P71" s="166">
        <v>7.3160239999999996</v>
      </c>
      <c r="Q71" s="166">
        <v>6.1899389999999999</v>
      </c>
      <c r="R71" s="166">
        <v>6.2987859999999998</v>
      </c>
      <c r="S71" s="166">
        <v>6.5860560000000001</v>
      </c>
      <c r="T71" s="166">
        <v>7.7319560000000003</v>
      </c>
      <c r="U71" s="166">
        <v>7.4777959999999997</v>
      </c>
      <c r="V71" s="166">
        <v>7.1076110000000003</v>
      </c>
      <c r="W71" s="166">
        <v>7.4372400000000001</v>
      </c>
      <c r="X71" s="166">
        <v>8.8038889999999999</v>
      </c>
    </row>
    <row r="72" spans="1:24" x14ac:dyDescent="0.2">
      <c r="A72" s="164"/>
      <c r="B72" s="164" t="s">
        <v>370</v>
      </c>
      <c r="C72" s="166">
        <v>6.102195</v>
      </c>
      <c r="D72" s="166">
        <v>5.9639939999999996</v>
      </c>
      <c r="E72" s="166">
        <v>6.8461439999999998</v>
      </c>
      <c r="F72" s="166">
        <v>6.71366</v>
      </c>
      <c r="G72" s="166">
        <v>4.6152290000000002</v>
      </c>
      <c r="H72" s="166">
        <v>4.9264749999999999</v>
      </c>
      <c r="I72" s="166">
        <v>5.6731020000000001</v>
      </c>
      <c r="J72" s="166">
        <v>6.0638230000000002</v>
      </c>
      <c r="K72" s="166">
        <v>6.2059819999999997</v>
      </c>
      <c r="L72" s="166">
        <v>6.0336350000000003</v>
      </c>
      <c r="M72" s="166">
        <v>4.75075</v>
      </c>
      <c r="N72" s="166">
        <v>4.55084</v>
      </c>
      <c r="O72" s="166">
        <v>5.2789339999999996</v>
      </c>
      <c r="P72" s="166">
        <v>5.6318479999999997</v>
      </c>
      <c r="Q72" s="166">
        <v>5.5976299999999997</v>
      </c>
      <c r="R72" s="166">
        <v>5.8258530000000004</v>
      </c>
      <c r="S72" s="166">
        <v>5.902533</v>
      </c>
      <c r="T72" s="166">
        <v>5.2085809999999997</v>
      </c>
      <c r="U72" s="166">
        <v>6.2913110000000003</v>
      </c>
      <c r="V72" s="166">
        <v>6.1255750000000004</v>
      </c>
      <c r="W72" s="166">
        <v>6.0190999999999999</v>
      </c>
      <c r="X72" s="166">
        <v>5.9660089999999997</v>
      </c>
    </row>
    <row r="73" spans="1:24" x14ac:dyDescent="0.2">
      <c r="A73" s="164"/>
      <c r="B73" s="164" t="s">
        <v>371</v>
      </c>
      <c r="C73" s="166">
        <v>6.2365700000000004</v>
      </c>
      <c r="D73" s="166">
        <v>7.3799929999999998</v>
      </c>
      <c r="E73" s="166">
        <v>7.0665889999999996</v>
      </c>
      <c r="F73" s="166">
        <v>7.3942069999999998</v>
      </c>
      <c r="G73" s="166">
        <v>5.0641809999999996</v>
      </c>
      <c r="H73" s="166">
        <v>5.6692819999999999</v>
      </c>
      <c r="I73" s="166">
        <v>6.1946700000000003</v>
      </c>
      <c r="J73" s="166">
        <v>6.7106500000000002</v>
      </c>
      <c r="K73" s="166">
        <v>6.6330270000000002</v>
      </c>
      <c r="L73" s="166">
        <v>6.1978569999999999</v>
      </c>
      <c r="M73" s="166">
        <v>4.75075</v>
      </c>
      <c r="N73" s="166">
        <v>5.1682839999999999</v>
      </c>
      <c r="O73" s="166">
        <v>6.0717650000000001</v>
      </c>
      <c r="P73" s="166">
        <v>5.6660570000000003</v>
      </c>
      <c r="Q73" s="166">
        <v>5.9585119999999998</v>
      </c>
      <c r="R73" s="166">
        <v>6.2987859999999998</v>
      </c>
      <c r="S73" s="166">
        <v>6.3963760000000001</v>
      </c>
      <c r="T73" s="166">
        <v>6.3414409999999997</v>
      </c>
      <c r="U73" s="166">
        <v>6.5420429999999996</v>
      </c>
      <c r="V73" s="166">
        <v>6.9899420000000001</v>
      </c>
      <c r="W73" s="166">
        <v>6.2251820000000002</v>
      </c>
      <c r="X73" s="166">
        <v>8.7894810000000003</v>
      </c>
    </row>
    <row r="74" spans="1:24" x14ac:dyDescent="0.2">
      <c r="A74" s="161"/>
      <c r="B74" s="164"/>
      <c r="C74" s="164"/>
      <c r="D74" s="164"/>
      <c r="E74" s="164"/>
      <c r="F74" s="164"/>
      <c r="G74" s="164"/>
      <c r="H74" s="164"/>
      <c r="I74" s="164"/>
      <c r="J74" s="164"/>
      <c r="K74" s="164"/>
      <c r="L74" s="164"/>
      <c r="M74" s="164"/>
      <c r="N74" s="164"/>
      <c r="O74" s="164"/>
      <c r="P74" s="164"/>
      <c r="Q74" s="164"/>
      <c r="R74" s="164"/>
      <c r="S74" s="164"/>
      <c r="T74" s="164"/>
      <c r="U74" s="164"/>
      <c r="V74" s="164"/>
      <c r="W74" s="164"/>
      <c r="X74" s="164"/>
    </row>
    <row r="75" spans="1:24" x14ac:dyDescent="0.2">
      <c r="A75" s="161" t="s">
        <v>382</v>
      </c>
      <c r="B75" s="164" t="s">
        <v>368</v>
      </c>
      <c r="C75" s="167" t="s">
        <v>35</v>
      </c>
      <c r="D75" s="165">
        <v>149.92827711764707</v>
      </c>
      <c r="E75" s="165">
        <v>145.81516198461537</v>
      </c>
      <c r="F75" s="165">
        <v>142.51112549999999</v>
      </c>
      <c r="G75" s="167" t="s">
        <v>35</v>
      </c>
      <c r="H75" s="165">
        <v>17.867051722222222</v>
      </c>
      <c r="I75" s="165">
        <v>18.701843569230768</v>
      </c>
      <c r="J75" s="165">
        <v>5.591126507936508</v>
      </c>
      <c r="K75" s="165">
        <v>4.9953827142857143</v>
      </c>
      <c r="L75" s="165">
        <v>11.305805533333332</v>
      </c>
      <c r="M75" s="165">
        <v>11.779418</v>
      </c>
      <c r="N75" s="165">
        <v>13.641732476190477</v>
      </c>
      <c r="O75" s="165">
        <v>14.698700890625</v>
      </c>
      <c r="P75" s="165">
        <v>16.966291383333335</v>
      </c>
      <c r="Q75" s="165">
        <v>15.064133015625</v>
      </c>
      <c r="R75" s="165">
        <v>10.401701111111111</v>
      </c>
      <c r="S75" s="165">
        <v>10.64386161904762</v>
      </c>
      <c r="T75" s="165">
        <v>21.214292612903225</v>
      </c>
      <c r="U75" s="165">
        <v>24.169601569230768</v>
      </c>
      <c r="V75" s="165">
        <v>19.761105843749998</v>
      </c>
      <c r="W75" s="165">
        <v>19.794788492063493</v>
      </c>
      <c r="X75" s="165">
        <v>12.74018562264151</v>
      </c>
    </row>
    <row r="76" spans="1:24" x14ac:dyDescent="0.2">
      <c r="A76" s="164"/>
      <c r="B76" s="164" t="s">
        <v>369</v>
      </c>
      <c r="C76" s="168" t="s">
        <v>35</v>
      </c>
      <c r="D76" s="166">
        <v>157.121679</v>
      </c>
      <c r="E76" s="166">
        <v>150.17296999999999</v>
      </c>
      <c r="F76" s="166">
        <v>143.384748</v>
      </c>
      <c r="G76" s="168" t="s">
        <v>35</v>
      </c>
      <c r="H76" s="166">
        <v>18.254787</v>
      </c>
      <c r="I76" s="166">
        <v>19.517624999999999</v>
      </c>
      <c r="J76" s="166">
        <v>19.115404000000002</v>
      </c>
      <c r="K76" s="166">
        <v>5.1882869999999999</v>
      </c>
      <c r="L76" s="166">
        <v>13.196422</v>
      </c>
      <c r="M76" s="166">
        <v>12.355422000000001</v>
      </c>
      <c r="N76" s="166">
        <v>14.347778</v>
      </c>
      <c r="O76" s="166">
        <v>15.260374000000001</v>
      </c>
      <c r="P76" s="166">
        <v>18.364974</v>
      </c>
      <c r="Q76" s="166">
        <v>17.654586999999999</v>
      </c>
      <c r="R76" s="166">
        <v>10.726451000000001</v>
      </c>
      <c r="S76" s="166">
        <v>11.023023999999999</v>
      </c>
      <c r="T76" s="166">
        <v>23.240093999999999</v>
      </c>
      <c r="U76" s="166">
        <v>25.611701</v>
      </c>
      <c r="V76" s="166">
        <v>25.062498999999999</v>
      </c>
      <c r="W76" s="166">
        <v>20.950277</v>
      </c>
      <c r="X76" s="166">
        <v>19.000143999999999</v>
      </c>
    </row>
    <row r="77" spans="1:24" x14ac:dyDescent="0.2">
      <c r="A77" s="164"/>
      <c r="B77" s="164" t="s">
        <v>370</v>
      </c>
      <c r="C77" s="168" t="s">
        <v>35</v>
      </c>
      <c r="D77" s="166">
        <v>146.638127</v>
      </c>
      <c r="E77" s="166">
        <v>142.42074199999999</v>
      </c>
      <c r="F77" s="166">
        <v>141.77809199999999</v>
      </c>
      <c r="G77" s="168" t="s">
        <v>35</v>
      </c>
      <c r="H77" s="166">
        <v>17.566617000000001</v>
      </c>
      <c r="I77" s="166">
        <v>17.725066000000002</v>
      </c>
      <c r="J77" s="166">
        <v>4.7890199999999998</v>
      </c>
      <c r="K77" s="166">
        <v>4.7462520000000001</v>
      </c>
      <c r="L77" s="166">
        <v>4.7987260000000003</v>
      </c>
      <c r="M77" s="166">
        <v>10.237254999999999</v>
      </c>
      <c r="N77" s="166">
        <v>10.490373</v>
      </c>
      <c r="O77" s="166">
        <v>13.970996</v>
      </c>
      <c r="P77" s="166">
        <v>15.195354999999999</v>
      </c>
      <c r="Q77" s="166">
        <v>7.8801509999999997</v>
      </c>
      <c r="R77" s="166">
        <v>7.8709280000000001</v>
      </c>
      <c r="S77" s="166">
        <v>10.290863</v>
      </c>
      <c r="T77" s="166">
        <v>10.601684000000001</v>
      </c>
      <c r="U77" s="166">
        <v>22.502420999999998</v>
      </c>
      <c r="V77" s="166">
        <v>18.845679000000001</v>
      </c>
      <c r="W77" s="166">
        <v>18.078194</v>
      </c>
      <c r="X77" s="166">
        <v>10.578166</v>
      </c>
    </row>
    <row r="78" spans="1:24" x14ac:dyDescent="0.2">
      <c r="A78" s="164"/>
      <c r="B78" s="164" t="s">
        <v>371</v>
      </c>
      <c r="C78" s="168" t="s">
        <v>35</v>
      </c>
      <c r="D78" s="166">
        <v>149.04813899999999</v>
      </c>
      <c r="E78" s="166">
        <v>142.78224399999999</v>
      </c>
      <c r="F78" s="168" t="s">
        <v>35</v>
      </c>
      <c r="G78" s="168" t="s">
        <v>35</v>
      </c>
      <c r="H78" s="166">
        <v>17.718078999999999</v>
      </c>
      <c r="I78" s="166">
        <v>19.129353999999999</v>
      </c>
      <c r="J78" s="166">
        <v>5.055485</v>
      </c>
      <c r="K78" s="166">
        <v>4.8610030000000002</v>
      </c>
      <c r="L78" s="166">
        <v>11.921684000000001</v>
      </c>
      <c r="M78" s="166">
        <v>10.428565000000001</v>
      </c>
      <c r="N78" s="166">
        <v>13.799709999999999</v>
      </c>
      <c r="O78" s="166">
        <v>15.260374000000001</v>
      </c>
      <c r="P78" s="166">
        <v>16.997800000000002</v>
      </c>
      <c r="Q78" s="166">
        <v>7.961773</v>
      </c>
      <c r="R78" s="166">
        <v>10.716286999999999</v>
      </c>
      <c r="S78" s="166">
        <v>10.817453</v>
      </c>
      <c r="T78" s="166">
        <v>22.596658999999999</v>
      </c>
      <c r="U78" s="166">
        <v>25.023389999999999</v>
      </c>
      <c r="V78" s="166">
        <v>19.876118000000002</v>
      </c>
      <c r="W78" s="166">
        <v>18.495538</v>
      </c>
      <c r="X78" s="166">
        <v>12.386161</v>
      </c>
    </row>
    <row r="79" spans="1:24" x14ac:dyDescent="0.2">
      <c r="A79" s="161"/>
      <c r="B79" s="164"/>
      <c r="C79" s="164"/>
      <c r="D79" s="164"/>
      <c r="E79" s="164"/>
      <c r="F79" s="164"/>
      <c r="G79" s="164"/>
      <c r="H79" s="164"/>
      <c r="I79" s="164"/>
      <c r="J79" s="164"/>
      <c r="K79" s="164"/>
      <c r="L79" s="164"/>
      <c r="M79" s="164"/>
      <c r="N79" s="164"/>
      <c r="O79" s="164"/>
      <c r="P79" s="164"/>
      <c r="Q79" s="164"/>
      <c r="R79" s="164"/>
      <c r="S79" s="164"/>
      <c r="T79" s="164"/>
      <c r="U79" s="164"/>
      <c r="V79" s="164"/>
      <c r="W79" s="164"/>
      <c r="X79" s="164"/>
    </row>
    <row r="80" spans="1:24" x14ac:dyDescent="0.2">
      <c r="A80" s="161" t="s">
        <v>383</v>
      </c>
      <c r="B80" s="164" t="s">
        <v>368</v>
      </c>
      <c r="C80" s="167" t="s">
        <v>35</v>
      </c>
      <c r="D80" s="167" t="s">
        <v>35</v>
      </c>
      <c r="E80" s="167" t="s">
        <v>35</v>
      </c>
      <c r="F80" s="167" t="s">
        <v>35</v>
      </c>
      <c r="G80" s="167" t="s">
        <v>35</v>
      </c>
      <c r="H80" s="165">
        <v>14.272932851851852</v>
      </c>
      <c r="I80" s="165">
        <v>15.405956692307692</v>
      </c>
      <c r="J80" s="165">
        <v>4.0576939365079365</v>
      </c>
      <c r="K80" s="165">
        <v>3.5497451428571427</v>
      </c>
      <c r="L80" s="165">
        <v>8.7253349</v>
      </c>
      <c r="M80" s="165">
        <v>8.9632759687500005</v>
      </c>
      <c r="N80" s="165">
        <v>10.082581190476191</v>
      </c>
      <c r="O80" s="165">
        <v>11.370256281250001</v>
      </c>
      <c r="P80" s="165">
        <v>13.978781683333333</v>
      </c>
      <c r="Q80" s="165">
        <v>12.1812198125</v>
      </c>
      <c r="R80" s="165">
        <v>7.9049025555555552</v>
      </c>
      <c r="S80" s="165">
        <v>8.164689952380952</v>
      </c>
      <c r="T80" s="165">
        <v>21.898679483870968</v>
      </c>
      <c r="U80" s="165">
        <v>26.434698676923077</v>
      </c>
      <c r="V80" s="165">
        <v>19.253124437499999</v>
      </c>
      <c r="W80" s="165">
        <v>19.260318857142856</v>
      </c>
      <c r="X80" s="165">
        <v>11.08975158490566</v>
      </c>
    </row>
    <row r="81" spans="1:136" x14ac:dyDescent="0.2">
      <c r="A81" s="164"/>
      <c r="B81" s="164" t="s">
        <v>369</v>
      </c>
      <c r="C81" s="168" t="s">
        <v>35</v>
      </c>
      <c r="D81" s="168" t="s">
        <v>35</v>
      </c>
      <c r="E81" s="168" t="s">
        <v>35</v>
      </c>
      <c r="F81" s="168" t="s">
        <v>35</v>
      </c>
      <c r="G81" s="168" t="s">
        <v>35</v>
      </c>
      <c r="H81" s="166">
        <v>14.799187999999999</v>
      </c>
      <c r="I81" s="166">
        <v>16.513179000000001</v>
      </c>
      <c r="J81" s="166">
        <v>15.967263000000001</v>
      </c>
      <c r="K81" s="166">
        <v>3.7561580000000001</v>
      </c>
      <c r="L81" s="166">
        <v>10.383884</v>
      </c>
      <c r="M81" s="166">
        <v>9.6574480000000005</v>
      </c>
      <c r="N81" s="166">
        <v>10.928674000000001</v>
      </c>
      <c r="O81" s="166">
        <v>12.077035</v>
      </c>
      <c r="P81" s="166">
        <v>15.600210000000001</v>
      </c>
      <c r="Q81" s="166">
        <v>14.665573</v>
      </c>
      <c r="R81" s="166">
        <v>8.2629999999999999</v>
      </c>
      <c r="S81" s="166">
        <v>8.6160259999999997</v>
      </c>
      <c r="T81" s="166">
        <v>24.971997999999999</v>
      </c>
      <c r="U81" s="166">
        <v>28.704029999999999</v>
      </c>
      <c r="V81" s="166">
        <v>27.839789</v>
      </c>
      <c r="W81" s="166">
        <v>20.860617999999999</v>
      </c>
      <c r="X81" s="166">
        <v>18.159773000000001</v>
      </c>
    </row>
    <row r="82" spans="1:136" x14ac:dyDescent="0.2">
      <c r="A82" s="164"/>
      <c r="B82" s="164" t="s">
        <v>370</v>
      </c>
      <c r="C82" s="168" t="s">
        <v>35</v>
      </c>
      <c r="D82" s="168" t="s">
        <v>35</v>
      </c>
      <c r="E82" s="168" t="s">
        <v>35</v>
      </c>
      <c r="F82" s="168" t="s">
        <v>35</v>
      </c>
      <c r="G82" s="168" t="s">
        <v>35</v>
      </c>
      <c r="H82" s="166">
        <v>13.865167</v>
      </c>
      <c r="I82" s="166">
        <v>14.080221999999999</v>
      </c>
      <c r="J82" s="166">
        <v>3.328932</v>
      </c>
      <c r="K82" s="166">
        <v>3.283169</v>
      </c>
      <c r="L82" s="166">
        <v>3.339318</v>
      </c>
      <c r="M82" s="166">
        <v>7.1047359999999999</v>
      </c>
      <c r="N82" s="166">
        <v>7.4097819999999999</v>
      </c>
      <c r="O82" s="166">
        <v>10.454553000000001</v>
      </c>
      <c r="P82" s="166">
        <v>11.995219000000001</v>
      </c>
      <c r="Q82" s="166">
        <v>5.7722040000000003</v>
      </c>
      <c r="R82" s="166">
        <v>5.7616170000000002</v>
      </c>
      <c r="S82" s="166">
        <v>7.7444980000000001</v>
      </c>
      <c r="T82" s="166">
        <v>8.1144829999999999</v>
      </c>
      <c r="U82" s="166">
        <v>23.811173</v>
      </c>
      <c r="V82" s="166">
        <v>17.945844000000001</v>
      </c>
      <c r="W82" s="166">
        <v>16.882912999999999</v>
      </c>
      <c r="X82" s="166">
        <v>8.6126819999999995</v>
      </c>
    </row>
    <row r="83" spans="1:136" x14ac:dyDescent="0.2">
      <c r="A83" s="164"/>
      <c r="B83" s="164" t="s">
        <v>371</v>
      </c>
      <c r="C83" s="168" t="s">
        <v>35</v>
      </c>
      <c r="D83" s="168" t="s">
        <v>35</v>
      </c>
      <c r="E83" s="168" t="s">
        <v>35</v>
      </c>
      <c r="F83" s="168" t="s">
        <v>35</v>
      </c>
      <c r="G83" s="168" t="s">
        <v>35</v>
      </c>
      <c r="H83" s="166">
        <v>14.070740000000001</v>
      </c>
      <c r="I83" s="166">
        <v>15.986196</v>
      </c>
      <c r="J83" s="166">
        <v>3.6140560000000002</v>
      </c>
      <c r="K83" s="166">
        <v>3.4059560000000002</v>
      </c>
      <c r="L83" s="166">
        <v>9.1347280000000008</v>
      </c>
      <c r="M83" s="166">
        <v>7.3352940000000002</v>
      </c>
      <c r="N83" s="166">
        <v>10.239015999999999</v>
      </c>
      <c r="O83" s="166">
        <v>12.077035</v>
      </c>
      <c r="P83" s="166">
        <v>13.801458</v>
      </c>
      <c r="Q83" s="166">
        <v>5.8658859999999997</v>
      </c>
      <c r="R83" s="166">
        <v>8.2509010000000007</v>
      </c>
      <c r="S83" s="166">
        <v>8.3713239999999995</v>
      </c>
      <c r="T83" s="166">
        <v>23.959468999999999</v>
      </c>
      <c r="U83" s="166">
        <v>27.778245999999999</v>
      </c>
      <c r="V83" s="166">
        <v>19.372957</v>
      </c>
      <c r="W83" s="166">
        <v>17.460916000000001</v>
      </c>
      <c r="X83" s="166">
        <v>10.724118000000001</v>
      </c>
    </row>
    <row r="84" spans="1:136" x14ac:dyDescent="0.2">
      <c r="A84" s="161"/>
      <c r="B84" s="164"/>
      <c r="C84" s="164"/>
      <c r="D84" s="164"/>
      <c r="E84" s="164"/>
      <c r="F84" s="164"/>
      <c r="G84" s="164"/>
      <c r="H84" s="164"/>
      <c r="I84" s="164"/>
      <c r="J84" s="164"/>
      <c r="K84" s="164"/>
      <c r="L84" s="164"/>
      <c r="M84" s="164"/>
      <c r="N84" s="164"/>
      <c r="O84" s="164"/>
      <c r="P84" s="164"/>
      <c r="Q84" s="164"/>
      <c r="R84" s="164"/>
      <c r="S84" s="164"/>
      <c r="T84" s="164"/>
      <c r="U84" s="164"/>
      <c r="V84" s="164"/>
      <c r="W84" s="164"/>
      <c r="X84" s="164"/>
      <c r="Y84" s="164"/>
      <c r="Z84" s="164"/>
      <c r="AA84" s="164"/>
      <c r="AB84" s="164"/>
      <c r="AC84" s="164"/>
      <c r="AD84" s="164"/>
      <c r="AE84" s="164"/>
      <c r="AF84" s="164"/>
      <c r="AG84" s="164"/>
      <c r="AH84" s="164"/>
      <c r="AI84" s="164"/>
      <c r="AJ84" s="164"/>
      <c r="AK84" s="164"/>
      <c r="AL84" s="164"/>
      <c r="AM84" s="164"/>
      <c r="AN84" s="164"/>
      <c r="AO84" s="164"/>
      <c r="AP84" s="164"/>
      <c r="AQ84" s="164"/>
      <c r="AR84" s="164"/>
      <c r="AS84" s="164"/>
      <c r="AT84" s="164"/>
      <c r="AU84" s="164"/>
      <c r="AV84" s="164"/>
      <c r="AW84" s="164"/>
      <c r="AX84" s="164"/>
      <c r="AY84" s="164"/>
      <c r="AZ84" s="164"/>
      <c r="BA84" s="164"/>
      <c r="BB84" s="164"/>
      <c r="BC84" s="164"/>
      <c r="BD84" s="164"/>
      <c r="BE84" s="164"/>
      <c r="BF84" s="164"/>
      <c r="BG84" s="164"/>
      <c r="BH84" s="164"/>
      <c r="BI84" s="164"/>
      <c r="BJ84" s="164"/>
      <c r="BK84" s="164"/>
      <c r="BL84" s="164"/>
      <c r="BM84" s="164"/>
      <c r="BN84" s="164"/>
      <c r="BO84" s="164"/>
      <c r="BP84" s="164"/>
      <c r="BQ84" s="164"/>
      <c r="BR84" s="164"/>
      <c r="BS84" s="164"/>
      <c r="BT84" s="164"/>
      <c r="BU84" s="164"/>
      <c r="BV84" s="164"/>
      <c r="BW84" s="164"/>
      <c r="BX84" s="164"/>
      <c r="BY84" s="164"/>
      <c r="BZ84" s="164"/>
      <c r="CA84" s="164"/>
      <c r="CB84" s="164"/>
      <c r="CC84" s="164"/>
      <c r="CD84" s="164"/>
      <c r="CE84" s="164"/>
      <c r="CF84" s="164"/>
      <c r="CG84" s="164"/>
      <c r="CH84" s="164"/>
      <c r="CI84" s="164"/>
      <c r="CJ84" s="164"/>
      <c r="CK84" s="164"/>
      <c r="CL84" s="164"/>
      <c r="CM84" s="164"/>
      <c r="CN84" s="164"/>
      <c r="CO84" s="164"/>
      <c r="CP84" s="164"/>
      <c r="CQ84" s="164"/>
      <c r="CR84" s="164"/>
      <c r="CS84" s="164"/>
      <c r="CT84" s="164"/>
      <c r="CU84" s="164"/>
      <c r="CV84" s="164"/>
      <c r="CW84" s="164"/>
      <c r="CX84" s="164"/>
      <c r="CY84" s="164"/>
      <c r="CZ84" s="164"/>
      <c r="DA84" s="164"/>
      <c r="DB84" s="164"/>
      <c r="DC84" s="164"/>
      <c r="DD84" s="164"/>
      <c r="DE84" s="164"/>
      <c r="DF84" s="164"/>
      <c r="DG84" s="164"/>
      <c r="DH84" s="164"/>
      <c r="DI84" s="164"/>
      <c r="DJ84" s="164"/>
      <c r="DK84" s="164"/>
      <c r="DL84" s="164"/>
      <c r="DM84" s="164"/>
      <c r="DN84" s="164"/>
      <c r="DO84" s="164"/>
      <c r="DP84" s="164"/>
      <c r="DQ84" s="164"/>
      <c r="DR84" s="164"/>
      <c r="DS84" s="164"/>
      <c r="DT84" s="164"/>
      <c r="DU84" s="164"/>
      <c r="DV84" s="164"/>
      <c r="DW84" s="164"/>
      <c r="DX84" s="164"/>
      <c r="DY84" s="164"/>
      <c r="DZ84" s="164"/>
      <c r="EA84" s="164"/>
      <c r="EB84" s="164"/>
      <c r="EC84" s="164"/>
      <c r="ED84" s="164"/>
      <c r="EE84" s="164"/>
      <c r="EF84" s="164"/>
    </row>
    <row r="85" spans="1:136" x14ac:dyDescent="0.2">
      <c r="A85" s="26" t="s">
        <v>384</v>
      </c>
    </row>
    <row r="87" spans="1:136" x14ac:dyDescent="0.2">
      <c r="A87" s="26" t="s">
        <v>385</v>
      </c>
    </row>
    <row r="91" spans="1:136" ht="25" customHeight="1" x14ac:dyDescent="0.2">
      <c r="A91" s="169" t="s">
        <v>386</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7B4A1-7A4D-8E47-A177-80C572331BC4}">
  <dimension ref="A5:HG39"/>
  <sheetViews>
    <sheetView topLeftCell="A2" workbookViewId="0">
      <selection activeCell="A2" sqref="A1:XFD1048576"/>
    </sheetView>
  </sheetViews>
  <sheetFormatPr baseColWidth="10" defaultRowHeight="16" x14ac:dyDescent="0.2"/>
  <cols>
    <col min="1" max="1" width="45.83203125" style="2" customWidth="1"/>
    <col min="2" max="52" width="14.83203125" style="2" customWidth="1"/>
    <col min="53" max="256" width="8.83203125" style="2" customWidth="1"/>
    <col min="257" max="257" width="45.83203125" style="2" customWidth="1"/>
    <col min="258" max="308" width="14.83203125" style="2" customWidth="1"/>
    <col min="309" max="512" width="8.83203125" style="2" customWidth="1"/>
    <col min="513" max="513" width="45.83203125" style="2" customWidth="1"/>
    <col min="514" max="564" width="14.83203125" style="2" customWidth="1"/>
    <col min="565" max="768" width="8.83203125" style="2" customWidth="1"/>
    <col min="769" max="769" width="45.83203125" style="2" customWidth="1"/>
    <col min="770" max="820" width="14.83203125" style="2" customWidth="1"/>
    <col min="821" max="1024" width="8.83203125" style="2" customWidth="1"/>
    <col min="1025" max="1025" width="45.83203125" style="2" customWidth="1"/>
    <col min="1026" max="1076" width="14.83203125" style="2" customWidth="1"/>
    <col min="1077" max="1280" width="8.83203125" style="2" customWidth="1"/>
    <col min="1281" max="1281" width="45.83203125" style="2" customWidth="1"/>
    <col min="1282" max="1332" width="14.83203125" style="2" customWidth="1"/>
    <col min="1333" max="1536" width="8.83203125" style="2" customWidth="1"/>
    <col min="1537" max="1537" width="45.83203125" style="2" customWidth="1"/>
    <col min="1538" max="1588" width="14.83203125" style="2" customWidth="1"/>
    <col min="1589" max="1792" width="8.83203125" style="2" customWidth="1"/>
    <col min="1793" max="1793" width="45.83203125" style="2" customWidth="1"/>
    <col min="1794" max="1844" width="14.83203125" style="2" customWidth="1"/>
    <col min="1845" max="2048" width="8.83203125" style="2" customWidth="1"/>
    <col min="2049" max="2049" width="45.83203125" style="2" customWidth="1"/>
    <col min="2050" max="2100" width="14.83203125" style="2" customWidth="1"/>
    <col min="2101" max="2304" width="8.83203125" style="2" customWidth="1"/>
    <col min="2305" max="2305" width="45.83203125" style="2" customWidth="1"/>
    <col min="2306" max="2356" width="14.83203125" style="2" customWidth="1"/>
    <col min="2357" max="2560" width="8.83203125" style="2" customWidth="1"/>
    <col min="2561" max="2561" width="45.83203125" style="2" customWidth="1"/>
    <col min="2562" max="2612" width="14.83203125" style="2" customWidth="1"/>
    <col min="2613" max="2816" width="8.83203125" style="2" customWidth="1"/>
    <col min="2817" max="2817" width="45.83203125" style="2" customWidth="1"/>
    <col min="2818" max="2868" width="14.83203125" style="2" customWidth="1"/>
    <col min="2869" max="3072" width="8.83203125" style="2" customWidth="1"/>
    <col min="3073" max="3073" width="45.83203125" style="2" customWidth="1"/>
    <col min="3074" max="3124" width="14.83203125" style="2" customWidth="1"/>
    <col min="3125" max="3328" width="8.83203125" style="2" customWidth="1"/>
    <col min="3329" max="3329" width="45.83203125" style="2" customWidth="1"/>
    <col min="3330" max="3380" width="14.83203125" style="2" customWidth="1"/>
    <col min="3381" max="3584" width="8.83203125" style="2" customWidth="1"/>
    <col min="3585" max="3585" width="45.83203125" style="2" customWidth="1"/>
    <col min="3586" max="3636" width="14.83203125" style="2" customWidth="1"/>
    <col min="3637" max="3840" width="8.83203125" style="2" customWidth="1"/>
    <col min="3841" max="3841" width="45.83203125" style="2" customWidth="1"/>
    <col min="3842" max="3892" width="14.83203125" style="2" customWidth="1"/>
    <col min="3893" max="4096" width="8.83203125" style="2" customWidth="1"/>
    <col min="4097" max="4097" width="45.83203125" style="2" customWidth="1"/>
    <col min="4098" max="4148" width="14.83203125" style="2" customWidth="1"/>
    <col min="4149" max="4352" width="8.83203125" style="2" customWidth="1"/>
    <col min="4353" max="4353" width="45.83203125" style="2" customWidth="1"/>
    <col min="4354" max="4404" width="14.83203125" style="2" customWidth="1"/>
    <col min="4405" max="4608" width="8.83203125" style="2" customWidth="1"/>
    <col min="4609" max="4609" width="45.83203125" style="2" customWidth="1"/>
    <col min="4610" max="4660" width="14.83203125" style="2" customWidth="1"/>
    <col min="4661" max="4864" width="8.83203125" style="2" customWidth="1"/>
    <col min="4865" max="4865" width="45.83203125" style="2" customWidth="1"/>
    <col min="4866" max="4916" width="14.83203125" style="2" customWidth="1"/>
    <col min="4917" max="5120" width="8.83203125" style="2" customWidth="1"/>
    <col min="5121" max="5121" width="45.83203125" style="2" customWidth="1"/>
    <col min="5122" max="5172" width="14.83203125" style="2" customWidth="1"/>
    <col min="5173" max="5376" width="8.83203125" style="2" customWidth="1"/>
    <col min="5377" max="5377" width="45.83203125" style="2" customWidth="1"/>
    <col min="5378" max="5428" width="14.83203125" style="2" customWidth="1"/>
    <col min="5429" max="5632" width="8.83203125" style="2" customWidth="1"/>
    <col min="5633" max="5633" width="45.83203125" style="2" customWidth="1"/>
    <col min="5634" max="5684" width="14.83203125" style="2" customWidth="1"/>
    <col min="5685" max="5888" width="8.83203125" style="2" customWidth="1"/>
    <col min="5889" max="5889" width="45.83203125" style="2" customWidth="1"/>
    <col min="5890" max="5940" width="14.83203125" style="2" customWidth="1"/>
    <col min="5941" max="6144" width="8.83203125" style="2" customWidth="1"/>
    <col min="6145" max="6145" width="45.83203125" style="2" customWidth="1"/>
    <col min="6146" max="6196" width="14.83203125" style="2" customWidth="1"/>
    <col min="6197" max="6400" width="8.83203125" style="2" customWidth="1"/>
    <col min="6401" max="6401" width="45.83203125" style="2" customWidth="1"/>
    <col min="6402" max="6452" width="14.83203125" style="2" customWidth="1"/>
    <col min="6453" max="6656" width="8.83203125" style="2" customWidth="1"/>
    <col min="6657" max="6657" width="45.83203125" style="2" customWidth="1"/>
    <col min="6658" max="6708" width="14.83203125" style="2" customWidth="1"/>
    <col min="6709" max="6912" width="8.83203125" style="2" customWidth="1"/>
    <col min="6913" max="6913" width="45.83203125" style="2" customWidth="1"/>
    <col min="6914" max="6964" width="14.83203125" style="2" customWidth="1"/>
    <col min="6965" max="7168" width="8.83203125" style="2" customWidth="1"/>
    <col min="7169" max="7169" width="45.83203125" style="2" customWidth="1"/>
    <col min="7170" max="7220" width="14.83203125" style="2" customWidth="1"/>
    <col min="7221" max="7424" width="8.83203125" style="2" customWidth="1"/>
    <col min="7425" max="7425" width="45.83203125" style="2" customWidth="1"/>
    <col min="7426" max="7476" width="14.83203125" style="2" customWidth="1"/>
    <col min="7477" max="7680" width="8.83203125" style="2" customWidth="1"/>
    <col min="7681" max="7681" width="45.83203125" style="2" customWidth="1"/>
    <col min="7682" max="7732" width="14.83203125" style="2" customWidth="1"/>
    <col min="7733" max="7936" width="8.83203125" style="2" customWidth="1"/>
    <col min="7937" max="7937" width="45.83203125" style="2" customWidth="1"/>
    <col min="7938" max="7988" width="14.83203125" style="2" customWidth="1"/>
    <col min="7989" max="8192" width="8.83203125" style="2" customWidth="1"/>
    <col min="8193" max="8193" width="45.83203125" style="2" customWidth="1"/>
    <col min="8194" max="8244" width="14.83203125" style="2" customWidth="1"/>
    <col min="8245" max="8448" width="8.83203125" style="2" customWidth="1"/>
    <col min="8449" max="8449" width="45.83203125" style="2" customWidth="1"/>
    <col min="8450" max="8500" width="14.83203125" style="2" customWidth="1"/>
    <col min="8501" max="8704" width="8.83203125" style="2" customWidth="1"/>
    <col min="8705" max="8705" width="45.83203125" style="2" customWidth="1"/>
    <col min="8706" max="8756" width="14.83203125" style="2" customWidth="1"/>
    <col min="8757" max="8960" width="8.83203125" style="2" customWidth="1"/>
    <col min="8961" max="8961" width="45.83203125" style="2" customWidth="1"/>
    <col min="8962" max="9012" width="14.83203125" style="2" customWidth="1"/>
    <col min="9013" max="9216" width="8.83203125" style="2" customWidth="1"/>
    <col min="9217" max="9217" width="45.83203125" style="2" customWidth="1"/>
    <col min="9218" max="9268" width="14.83203125" style="2" customWidth="1"/>
    <col min="9269" max="9472" width="8.83203125" style="2" customWidth="1"/>
    <col min="9473" max="9473" width="45.83203125" style="2" customWidth="1"/>
    <col min="9474" max="9524" width="14.83203125" style="2" customWidth="1"/>
    <col min="9525" max="9728" width="8.83203125" style="2" customWidth="1"/>
    <col min="9729" max="9729" width="45.83203125" style="2" customWidth="1"/>
    <col min="9730" max="9780" width="14.83203125" style="2" customWidth="1"/>
    <col min="9781" max="9984" width="8.83203125" style="2" customWidth="1"/>
    <col min="9985" max="9985" width="45.83203125" style="2" customWidth="1"/>
    <col min="9986" max="10036" width="14.83203125" style="2" customWidth="1"/>
    <col min="10037" max="10240" width="8.83203125" style="2" customWidth="1"/>
    <col min="10241" max="10241" width="45.83203125" style="2" customWidth="1"/>
    <col min="10242" max="10292" width="14.83203125" style="2" customWidth="1"/>
    <col min="10293" max="10496" width="8.83203125" style="2" customWidth="1"/>
    <col min="10497" max="10497" width="45.83203125" style="2" customWidth="1"/>
    <col min="10498" max="10548" width="14.83203125" style="2" customWidth="1"/>
    <col min="10549" max="10752" width="8.83203125" style="2" customWidth="1"/>
    <col min="10753" max="10753" width="45.83203125" style="2" customWidth="1"/>
    <col min="10754" max="10804" width="14.83203125" style="2" customWidth="1"/>
    <col min="10805" max="11008" width="8.83203125" style="2" customWidth="1"/>
    <col min="11009" max="11009" width="45.83203125" style="2" customWidth="1"/>
    <col min="11010" max="11060" width="14.83203125" style="2" customWidth="1"/>
    <col min="11061" max="11264" width="8.83203125" style="2" customWidth="1"/>
    <col min="11265" max="11265" width="45.83203125" style="2" customWidth="1"/>
    <col min="11266" max="11316" width="14.83203125" style="2" customWidth="1"/>
    <col min="11317" max="11520" width="8.83203125" style="2" customWidth="1"/>
    <col min="11521" max="11521" width="45.83203125" style="2" customWidth="1"/>
    <col min="11522" max="11572" width="14.83203125" style="2" customWidth="1"/>
    <col min="11573" max="11776" width="8.83203125" style="2" customWidth="1"/>
    <col min="11777" max="11777" width="45.83203125" style="2" customWidth="1"/>
    <col min="11778" max="11828" width="14.83203125" style="2" customWidth="1"/>
    <col min="11829" max="12032" width="8.83203125" style="2" customWidth="1"/>
    <col min="12033" max="12033" width="45.83203125" style="2" customWidth="1"/>
    <col min="12034" max="12084" width="14.83203125" style="2" customWidth="1"/>
    <col min="12085" max="12288" width="8.83203125" style="2" customWidth="1"/>
    <col min="12289" max="12289" width="45.83203125" style="2" customWidth="1"/>
    <col min="12290" max="12340" width="14.83203125" style="2" customWidth="1"/>
    <col min="12341" max="12544" width="8.83203125" style="2" customWidth="1"/>
    <col min="12545" max="12545" width="45.83203125" style="2" customWidth="1"/>
    <col min="12546" max="12596" width="14.83203125" style="2" customWidth="1"/>
    <col min="12597" max="12800" width="8.83203125" style="2" customWidth="1"/>
    <col min="12801" max="12801" width="45.83203125" style="2" customWidth="1"/>
    <col min="12802" max="12852" width="14.83203125" style="2" customWidth="1"/>
    <col min="12853" max="13056" width="8.83203125" style="2" customWidth="1"/>
    <col min="13057" max="13057" width="45.83203125" style="2" customWidth="1"/>
    <col min="13058" max="13108" width="14.83203125" style="2" customWidth="1"/>
    <col min="13109" max="13312" width="8.83203125" style="2" customWidth="1"/>
    <col min="13313" max="13313" width="45.83203125" style="2" customWidth="1"/>
    <col min="13314" max="13364" width="14.83203125" style="2" customWidth="1"/>
    <col min="13365" max="13568" width="8.83203125" style="2" customWidth="1"/>
    <col min="13569" max="13569" width="45.83203125" style="2" customWidth="1"/>
    <col min="13570" max="13620" width="14.83203125" style="2" customWidth="1"/>
    <col min="13621" max="13824" width="8.83203125" style="2" customWidth="1"/>
    <col min="13825" max="13825" width="45.83203125" style="2" customWidth="1"/>
    <col min="13826" max="13876" width="14.83203125" style="2" customWidth="1"/>
    <col min="13877" max="14080" width="8.83203125" style="2" customWidth="1"/>
    <col min="14081" max="14081" width="45.83203125" style="2" customWidth="1"/>
    <col min="14082" max="14132" width="14.83203125" style="2" customWidth="1"/>
    <col min="14133" max="14336" width="8.83203125" style="2" customWidth="1"/>
    <col min="14337" max="14337" width="45.83203125" style="2" customWidth="1"/>
    <col min="14338" max="14388" width="14.83203125" style="2" customWidth="1"/>
    <col min="14389" max="14592" width="8.83203125" style="2" customWidth="1"/>
    <col min="14593" max="14593" width="45.83203125" style="2" customWidth="1"/>
    <col min="14594" max="14644" width="14.83203125" style="2" customWidth="1"/>
    <col min="14645" max="14848" width="8.83203125" style="2" customWidth="1"/>
    <col min="14849" max="14849" width="45.83203125" style="2" customWidth="1"/>
    <col min="14850" max="14900" width="14.83203125" style="2" customWidth="1"/>
    <col min="14901" max="15104" width="8.83203125" style="2" customWidth="1"/>
    <col min="15105" max="15105" width="45.83203125" style="2" customWidth="1"/>
    <col min="15106" max="15156" width="14.83203125" style="2" customWidth="1"/>
    <col min="15157" max="15360" width="8.83203125" style="2" customWidth="1"/>
    <col min="15361" max="15361" width="45.83203125" style="2" customWidth="1"/>
    <col min="15362" max="15412" width="14.83203125" style="2" customWidth="1"/>
    <col min="15413" max="15616" width="8.83203125" style="2" customWidth="1"/>
    <col min="15617" max="15617" width="45.83203125" style="2" customWidth="1"/>
    <col min="15618" max="15668" width="14.83203125" style="2" customWidth="1"/>
    <col min="15669" max="15872" width="8.83203125" style="2" customWidth="1"/>
    <col min="15873" max="15873" width="45.83203125" style="2" customWidth="1"/>
    <col min="15874" max="15924" width="14.83203125" style="2" customWidth="1"/>
    <col min="15925" max="16128" width="8.83203125" style="2" customWidth="1"/>
    <col min="16129" max="16129" width="45.83203125" style="2" customWidth="1"/>
    <col min="16130" max="16180" width="14.83203125" style="2" customWidth="1"/>
    <col min="16181" max="16384" width="8.83203125" style="2" customWidth="1"/>
  </cols>
  <sheetData>
    <row r="5" spans="1:215" x14ac:dyDescent="0.2">
      <c r="A5" s="1" t="s">
        <v>387</v>
      </c>
    </row>
    <row r="7" spans="1:215" ht="34" x14ac:dyDescent="0.2">
      <c r="A7" s="3" t="s">
        <v>1</v>
      </c>
      <c r="B7" s="4" t="s">
        <v>363</v>
      </c>
      <c r="C7" s="2" t="s">
        <v>364</v>
      </c>
      <c r="D7" s="5" t="s">
        <v>4</v>
      </c>
      <c r="E7" s="4" t="s">
        <v>7</v>
      </c>
      <c r="F7" s="2" t="s">
        <v>8</v>
      </c>
    </row>
    <row r="8" spans="1:215" x14ac:dyDescent="0.2">
      <c r="A8" s="5"/>
      <c r="B8" s="4" t="s">
        <v>2</v>
      </c>
      <c r="C8" s="2" t="s">
        <v>3</v>
      </c>
      <c r="D8" s="5" t="s">
        <v>4</v>
      </c>
      <c r="E8" s="4" t="s">
        <v>5</v>
      </c>
      <c r="F8" s="2" t="s">
        <v>6</v>
      </c>
    </row>
    <row r="9" spans="1:215" x14ac:dyDescent="0.2">
      <c r="A9" s="5"/>
      <c r="B9" s="4" t="s">
        <v>9</v>
      </c>
      <c r="C9" s="2" t="s">
        <v>10</v>
      </c>
      <c r="D9" s="5" t="s">
        <v>4</v>
      </c>
      <c r="E9" s="4" t="s">
        <v>11</v>
      </c>
      <c r="F9" s="6" t="s">
        <v>12</v>
      </c>
    </row>
    <row r="10" spans="1:215" x14ac:dyDescent="0.2">
      <c r="A10" s="5"/>
      <c r="B10" s="4" t="s">
        <v>13</v>
      </c>
      <c r="C10" s="2" t="s">
        <v>14</v>
      </c>
      <c r="D10" s="5" t="s">
        <v>4</v>
      </c>
      <c r="E10" s="7"/>
      <c r="F10" s="7"/>
    </row>
    <row r="13" spans="1:215" x14ac:dyDescent="0.2">
      <c r="A13" s="8" t="s">
        <v>388</v>
      </c>
      <c r="B13" s="8"/>
      <c r="C13" s="8"/>
      <c r="D13" s="8"/>
      <c r="E13" s="8"/>
      <c r="F13" s="8"/>
      <c r="G13" s="8"/>
      <c r="H13" s="8"/>
      <c r="I13" s="8"/>
      <c r="J13" s="8"/>
      <c r="K13" s="8"/>
      <c r="L13" s="8"/>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9"/>
      <c r="GM13" s="9"/>
      <c r="GN13" s="9"/>
      <c r="GO13" s="9"/>
      <c r="GP13" s="9"/>
      <c r="GQ13" s="9"/>
      <c r="GR13" s="9"/>
      <c r="GS13" s="9"/>
      <c r="GT13" s="9"/>
      <c r="GU13" s="9"/>
      <c r="GV13" s="9"/>
      <c r="GW13" s="9"/>
      <c r="GX13" s="9"/>
      <c r="GY13" s="9"/>
      <c r="GZ13" s="9"/>
      <c r="HA13" s="9"/>
      <c r="HB13" s="9"/>
      <c r="HC13" s="9"/>
      <c r="HD13" s="9"/>
      <c r="HE13" s="9"/>
      <c r="HF13" s="9"/>
      <c r="HG13" s="9"/>
    </row>
    <row r="14" spans="1:215" ht="34" x14ac:dyDescent="0.2">
      <c r="A14" s="10" t="s">
        <v>187</v>
      </c>
      <c r="B14" s="47">
        <v>43890</v>
      </c>
      <c r="C14" s="47">
        <v>44072</v>
      </c>
      <c r="D14" s="47">
        <v>44254</v>
      </c>
      <c r="E14" s="47">
        <v>44436</v>
      </c>
      <c r="F14" s="47">
        <v>44618</v>
      </c>
      <c r="G14" s="47">
        <v>44800</v>
      </c>
      <c r="H14" s="47">
        <v>44982</v>
      </c>
      <c r="I14" s="47">
        <v>45164</v>
      </c>
      <c r="J14" s="47">
        <v>45346</v>
      </c>
      <c r="K14" s="47">
        <v>45528</v>
      </c>
      <c r="L14" s="47">
        <v>45710</v>
      </c>
    </row>
    <row r="15" spans="1:215" ht="17" x14ac:dyDescent="0.2">
      <c r="A15" s="10" t="s">
        <v>389</v>
      </c>
      <c r="B15" s="47">
        <v>43964</v>
      </c>
      <c r="C15" s="47">
        <v>44111</v>
      </c>
      <c r="D15" s="47">
        <v>44300</v>
      </c>
      <c r="E15" s="47">
        <v>44475</v>
      </c>
      <c r="F15" s="47">
        <v>44678</v>
      </c>
      <c r="G15" s="47">
        <v>44839</v>
      </c>
      <c r="H15" s="47">
        <v>45058</v>
      </c>
      <c r="I15" s="47">
        <v>45203</v>
      </c>
      <c r="J15" s="47">
        <v>45422</v>
      </c>
      <c r="K15" s="47">
        <v>45568</v>
      </c>
      <c r="L15" s="47">
        <v>45779</v>
      </c>
    </row>
    <row r="16" spans="1:215" ht="17" x14ac:dyDescent="0.2">
      <c r="A16" s="12" t="s">
        <v>23</v>
      </c>
      <c r="B16" s="13" t="s">
        <v>24</v>
      </c>
      <c r="C16" s="13" t="s">
        <v>24</v>
      </c>
      <c r="D16" s="13" t="s">
        <v>24</v>
      </c>
      <c r="E16" s="13" t="s">
        <v>24</v>
      </c>
      <c r="F16" s="13" t="s">
        <v>24</v>
      </c>
      <c r="G16" s="13" t="s">
        <v>24</v>
      </c>
      <c r="H16" s="13" t="s">
        <v>24</v>
      </c>
      <c r="I16" s="13" t="s">
        <v>24</v>
      </c>
      <c r="J16" s="13" t="s">
        <v>24</v>
      </c>
      <c r="K16" s="13" t="s">
        <v>24</v>
      </c>
      <c r="L16" s="13" t="s">
        <v>24</v>
      </c>
    </row>
    <row r="17" spans="1:12" x14ac:dyDescent="0.2">
      <c r="A17" s="14" t="s">
        <v>390</v>
      </c>
      <c r="B17" s="5"/>
      <c r="C17" s="5"/>
      <c r="D17" s="5"/>
      <c r="E17" s="5"/>
      <c r="F17" s="5"/>
      <c r="G17" s="5"/>
      <c r="H17" s="5"/>
      <c r="I17" s="5"/>
      <c r="J17" s="5"/>
      <c r="K17" s="5"/>
      <c r="L17" s="5"/>
    </row>
    <row r="18" spans="1:12" x14ac:dyDescent="0.2">
      <c r="A18" s="5" t="s">
        <v>46</v>
      </c>
      <c r="B18" s="19">
        <v>3.143866</v>
      </c>
      <c r="C18" s="19">
        <v>2.692933</v>
      </c>
      <c r="D18" s="19">
        <v>2.2739989999999999</v>
      </c>
      <c r="E18" s="19">
        <v>2.6804999999999999</v>
      </c>
      <c r="F18" s="19">
        <v>2.7360000000000002</v>
      </c>
      <c r="G18" s="19">
        <v>2.0129990000000002</v>
      </c>
      <c r="H18" s="19">
        <v>2.756999</v>
      </c>
      <c r="I18" s="19">
        <v>2.7069990000000002</v>
      </c>
      <c r="J18" s="19">
        <v>3.1169989999999999</v>
      </c>
      <c r="K18" s="19">
        <v>3.64</v>
      </c>
      <c r="L18" s="19">
        <v>3.7099989999999998</v>
      </c>
    </row>
    <row r="19" spans="1:12" x14ac:dyDescent="0.2">
      <c r="A19" s="5" t="s">
        <v>47</v>
      </c>
      <c r="B19" s="15">
        <v>7685.8768769999997</v>
      </c>
      <c r="C19" s="15">
        <v>7685.0514560000001</v>
      </c>
      <c r="D19" s="15">
        <v>7673.30782</v>
      </c>
      <c r="E19" s="15">
        <v>7673.595268</v>
      </c>
      <c r="F19" s="15">
        <v>7573.1839259999997</v>
      </c>
      <c r="G19" s="15">
        <v>7402.2448160000004</v>
      </c>
      <c r="H19" s="15">
        <v>7248.4110840000003</v>
      </c>
      <c r="I19" s="15">
        <v>7057.6135519999998</v>
      </c>
      <c r="J19" s="15">
        <v>6968.9297399999996</v>
      </c>
      <c r="K19" s="15">
        <v>6813.6706640000002</v>
      </c>
      <c r="L19" s="15">
        <v>6670.903104</v>
      </c>
    </row>
    <row r="20" spans="1:12" x14ac:dyDescent="0.2">
      <c r="A20" s="5"/>
      <c r="B20" s="5"/>
      <c r="C20" s="5"/>
      <c r="D20" s="5"/>
      <c r="E20" s="5"/>
      <c r="F20" s="5"/>
      <c r="G20" s="5"/>
      <c r="H20" s="5"/>
      <c r="I20" s="5"/>
      <c r="J20" s="5"/>
      <c r="K20" s="5"/>
      <c r="L20" s="5"/>
    </row>
    <row r="21" spans="1:12" x14ac:dyDescent="0.2">
      <c r="A21" s="14" t="s">
        <v>48</v>
      </c>
      <c r="B21" s="17">
        <v>24163.366993</v>
      </c>
      <c r="C21" s="17">
        <v>20695.328672</v>
      </c>
      <c r="D21" s="17">
        <v>17449.101982</v>
      </c>
      <c r="E21" s="17">
        <v>20569.072114999999</v>
      </c>
      <c r="F21" s="17">
        <v>20720.231220999998</v>
      </c>
      <c r="G21" s="17">
        <v>14900.718814</v>
      </c>
      <c r="H21" s="17">
        <v>19983.869358</v>
      </c>
      <c r="I21" s="17">
        <v>19104.959885</v>
      </c>
      <c r="J21" s="17">
        <v>21722.153998999998</v>
      </c>
      <c r="K21" s="17">
        <v>24801.761215999999</v>
      </c>
      <c r="L21" s="17">
        <v>24749.050514999999</v>
      </c>
    </row>
    <row r="22" spans="1:12" x14ac:dyDescent="0.2">
      <c r="A22" s="5" t="s">
        <v>49</v>
      </c>
      <c r="B22" s="15">
        <v>3120</v>
      </c>
      <c r="C22" s="15">
        <v>2568</v>
      </c>
      <c r="D22" s="15">
        <v>3521</v>
      </c>
      <c r="E22" s="15">
        <v>4550</v>
      </c>
      <c r="F22" s="15">
        <v>4421</v>
      </c>
      <c r="G22" s="15">
        <v>4171</v>
      </c>
      <c r="H22" s="15">
        <v>4099</v>
      </c>
      <c r="I22" s="15">
        <v>4506</v>
      </c>
      <c r="J22" s="15">
        <v>4674</v>
      </c>
      <c r="K22" s="15">
        <v>4239</v>
      </c>
      <c r="L22" s="15">
        <v>4629</v>
      </c>
    </row>
    <row r="23" spans="1:12" x14ac:dyDescent="0.2">
      <c r="A23" s="5" t="s">
        <v>50</v>
      </c>
      <c r="B23" s="15">
        <v>17061</v>
      </c>
      <c r="C23" s="15">
        <v>16574</v>
      </c>
      <c r="D23" s="15">
        <v>15670</v>
      </c>
      <c r="E23" s="15">
        <v>15577</v>
      </c>
      <c r="F23" s="15">
        <v>15357</v>
      </c>
      <c r="G23" s="15">
        <v>15577</v>
      </c>
      <c r="H23" s="15">
        <v>15078</v>
      </c>
      <c r="I23" s="15">
        <v>15637</v>
      </c>
      <c r="J23" s="15">
        <v>14841</v>
      </c>
      <c r="K23" s="15">
        <v>14638</v>
      </c>
      <c r="L23" s="15">
        <v>14666</v>
      </c>
    </row>
    <row r="24" spans="1:12" ht="17" x14ac:dyDescent="0.2">
      <c r="A24" s="5" t="s">
        <v>51</v>
      </c>
      <c r="B24" s="15" t="s">
        <v>52</v>
      </c>
      <c r="C24" s="15" t="s">
        <v>52</v>
      </c>
      <c r="D24" s="15" t="s">
        <v>52</v>
      </c>
      <c r="E24" s="15" t="s">
        <v>52</v>
      </c>
      <c r="F24" s="15" t="s">
        <v>52</v>
      </c>
      <c r="G24" s="15" t="s">
        <v>52</v>
      </c>
      <c r="H24" s="15" t="s">
        <v>52</v>
      </c>
      <c r="I24" s="15" t="s">
        <v>52</v>
      </c>
      <c r="J24" s="15" t="s">
        <v>52</v>
      </c>
      <c r="K24" s="15" t="s">
        <v>52</v>
      </c>
      <c r="L24" s="15" t="s">
        <v>52</v>
      </c>
    </row>
    <row r="25" spans="1:12" x14ac:dyDescent="0.2">
      <c r="A25" s="5" t="s">
        <v>53</v>
      </c>
      <c r="B25" s="15">
        <v>-22</v>
      </c>
      <c r="C25" s="15">
        <v>-17</v>
      </c>
      <c r="D25" s="15">
        <v>-18</v>
      </c>
      <c r="E25" s="15">
        <v>-18</v>
      </c>
      <c r="F25" s="15">
        <v>-16</v>
      </c>
      <c r="G25" s="15">
        <v>-11</v>
      </c>
      <c r="H25" s="15">
        <v>-11</v>
      </c>
      <c r="I25" s="15">
        <v>-7</v>
      </c>
      <c r="J25" s="15">
        <v>-6</v>
      </c>
      <c r="K25" s="15">
        <v>-6</v>
      </c>
      <c r="L25" s="15">
        <v>-4</v>
      </c>
    </row>
    <row r="26" spans="1:12" ht="17" x14ac:dyDescent="0.2">
      <c r="A26" s="5" t="s">
        <v>54</v>
      </c>
      <c r="B26" s="15" t="s">
        <v>52</v>
      </c>
      <c r="C26" s="15" t="s">
        <v>52</v>
      </c>
      <c r="D26" s="15" t="s">
        <v>52</v>
      </c>
      <c r="E26" s="15" t="s">
        <v>52</v>
      </c>
      <c r="F26" s="15" t="s">
        <v>52</v>
      </c>
      <c r="G26" s="15" t="s">
        <v>52</v>
      </c>
      <c r="H26" s="15" t="s">
        <v>52</v>
      </c>
      <c r="I26" s="15" t="s">
        <v>52</v>
      </c>
      <c r="J26" s="15" t="s">
        <v>52</v>
      </c>
      <c r="K26" s="15" t="s">
        <v>52</v>
      </c>
      <c r="L26" s="15" t="s">
        <v>52</v>
      </c>
    </row>
    <row r="27" spans="1:12" x14ac:dyDescent="0.2">
      <c r="A27" s="14" t="s">
        <v>55</v>
      </c>
      <c r="B27" s="16">
        <v>38082.366993000003</v>
      </c>
      <c r="C27" s="16">
        <v>34684.328672000003</v>
      </c>
      <c r="D27" s="16">
        <v>29580.101982</v>
      </c>
      <c r="E27" s="16">
        <v>31578.072114999999</v>
      </c>
      <c r="F27" s="16">
        <v>31640.231220999998</v>
      </c>
      <c r="G27" s="16">
        <v>26295.718814</v>
      </c>
      <c r="H27" s="16">
        <v>30951.869358</v>
      </c>
      <c r="I27" s="16">
        <v>30228.959885</v>
      </c>
      <c r="J27" s="16">
        <v>31883.153998999998</v>
      </c>
      <c r="K27" s="16">
        <v>35194.761215999999</v>
      </c>
      <c r="L27" s="16">
        <v>34782.050515000003</v>
      </c>
    </row>
    <row r="28" spans="1:12" x14ac:dyDescent="0.2">
      <c r="A28" s="5"/>
      <c r="B28" s="5"/>
      <c r="C28" s="5"/>
      <c r="D28" s="5"/>
      <c r="E28" s="5"/>
      <c r="F28" s="5"/>
      <c r="G28" s="5"/>
      <c r="H28" s="5"/>
      <c r="I28" s="5"/>
      <c r="J28" s="5"/>
      <c r="K28" s="5"/>
      <c r="L28" s="5"/>
    </row>
    <row r="29" spans="1:12" x14ac:dyDescent="0.2">
      <c r="A29" s="5" t="s">
        <v>56</v>
      </c>
      <c r="B29" s="15">
        <v>13275</v>
      </c>
      <c r="C29" s="15">
        <v>12214</v>
      </c>
      <c r="D29" s="15">
        <v>12343</v>
      </c>
      <c r="E29" s="15">
        <v>13354</v>
      </c>
      <c r="F29" s="15">
        <v>15660</v>
      </c>
      <c r="G29" s="15">
        <v>13688</v>
      </c>
      <c r="H29" s="15">
        <v>12241</v>
      </c>
      <c r="I29" s="15">
        <v>12064</v>
      </c>
      <c r="J29" s="15">
        <v>11671</v>
      </c>
      <c r="K29" s="15">
        <v>11585</v>
      </c>
      <c r="L29" s="15">
        <v>11666</v>
      </c>
    </row>
    <row r="30" spans="1:12" ht="17" x14ac:dyDescent="0.2">
      <c r="A30" s="5" t="s">
        <v>51</v>
      </c>
      <c r="B30" s="15" t="s">
        <v>52</v>
      </c>
      <c r="C30" s="15" t="s">
        <v>52</v>
      </c>
      <c r="D30" s="15" t="s">
        <v>52</v>
      </c>
      <c r="E30" s="15" t="s">
        <v>52</v>
      </c>
      <c r="F30" s="15" t="s">
        <v>52</v>
      </c>
      <c r="G30" s="15" t="s">
        <v>52</v>
      </c>
      <c r="H30" s="15" t="s">
        <v>52</v>
      </c>
      <c r="I30" s="15" t="s">
        <v>52</v>
      </c>
      <c r="J30" s="15" t="s">
        <v>52</v>
      </c>
      <c r="K30" s="15" t="s">
        <v>52</v>
      </c>
      <c r="L30" s="15" t="s">
        <v>52</v>
      </c>
    </row>
    <row r="31" spans="1:12" x14ac:dyDescent="0.2">
      <c r="A31" s="5" t="s">
        <v>53</v>
      </c>
      <c r="B31" s="15">
        <v>-22</v>
      </c>
      <c r="C31" s="15">
        <v>-17</v>
      </c>
      <c r="D31" s="15">
        <v>-18</v>
      </c>
      <c r="E31" s="15">
        <v>-18</v>
      </c>
      <c r="F31" s="15">
        <v>-16</v>
      </c>
      <c r="G31" s="15">
        <v>-11</v>
      </c>
      <c r="H31" s="15">
        <v>-11</v>
      </c>
      <c r="I31" s="15">
        <v>-7</v>
      </c>
      <c r="J31" s="15">
        <v>-6</v>
      </c>
      <c r="K31" s="15">
        <v>-6</v>
      </c>
      <c r="L31" s="15">
        <v>-4</v>
      </c>
    </row>
    <row r="32" spans="1:12" x14ac:dyDescent="0.2">
      <c r="A32" s="5" t="s">
        <v>50</v>
      </c>
      <c r="B32" s="15">
        <v>17061</v>
      </c>
      <c r="C32" s="15">
        <v>16574</v>
      </c>
      <c r="D32" s="15">
        <v>15670</v>
      </c>
      <c r="E32" s="15">
        <v>15577</v>
      </c>
      <c r="F32" s="15">
        <v>15357</v>
      </c>
      <c r="G32" s="15">
        <v>15577</v>
      </c>
      <c r="H32" s="15">
        <v>15078</v>
      </c>
      <c r="I32" s="15">
        <v>15637</v>
      </c>
      <c r="J32" s="15">
        <v>14841</v>
      </c>
      <c r="K32" s="15">
        <v>14638</v>
      </c>
      <c r="L32" s="15">
        <v>14666</v>
      </c>
    </row>
    <row r="33" spans="1:52" x14ac:dyDescent="0.2">
      <c r="A33" s="14" t="s">
        <v>57</v>
      </c>
      <c r="B33" s="16">
        <v>30314</v>
      </c>
      <c r="C33" s="16">
        <v>28771</v>
      </c>
      <c r="D33" s="16">
        <v>27995</v>
      </c>
      <c r="E33" s="16">
        <v>28913</v>
      </c>
      <c r="F33" s="16">
        <v>31001</v>
      </c>
      <c r="G33" s="16">
        <v>29254</v>
      </c>
      <c r="H33" s="16">
        <v>27308</v>
      </c>
      <c r="I33" s="16">
        <v>27694</v>
      </c>
      <c r="J33" s="16">
        <v>26506</v>
      </c>
      <c r="K33" s="16">
        <v>26217</v>
      </c>
      <c r="L33" s="16">
        <v>26328</v>
      </c>
    </row>
    <row r="34" spans="1:52" x14ac:dyDescent="0.2">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row>
    <row r="35" spans="1:52" x14ac:dyDescent="0.2">
      <c r="A35" s="25"/>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row>
    <row r="36" spans="1:52" ht="204" x14ac:dyDescent="0.2">
      <c r="A36" s="170" t="s">
        <v>391</v>
      </c>
    </row>
    <row r="37" spans="1:52" ht="153" x14ac:dyDescent="0.2">
      <c r="A37" s="170" t="s">
        <v>392</v>
      </c>
    </row>
    <row r="39" spans="1:52" ht="51" x14ac:dyDescent="0.2">
      <c r="A39" s="169" t="s">
        <v>386</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476F9-567D-F04A-89E7-F512DE4DD659}">
  <dimension ref="A1"/>
  <sheetViews>
    <sheetView workbookViewId="0"/>
  </sheetViews>
  <sheetFormatPr baseColWidth="10" defaultRowHeight="16" x14ac:dyDescent="0.2"/>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9D035-F16E-D043-994C-3253C932D417}">
  <dimension ref="A5:HO162"/>
  <sheetViews>
    <sheetView workbookViewId="0">
      <selection activeCell="J13" sqref="J13"/>
    </sheetView>
  </sheetViews>
  <sheetFormatPr baseColWidth="10" defaultRowHeight="16" x14ac:dyDescent="0.2"/>
  <cols>
    <col min="1" max="1" width="45.83203125" style="2" customWidth="1"/>
    <col min="2" max="7" width="14.6640625" style="2" customWidth="1"/>
    <col min="8" max="39" width="14.83203125" style="2" customWidth="1"/>
    <col min="40" max="256" width="8.83203125" style="2" customWidth="1"/>
    <col min="257" max="257" width="45.83203125" style="2" customWidth="1"/>
    <col min="258" max="262" width="14.83203125" style="2" customWidth="1"/>
    <col min="263" max="263" width="3.83203125" style="2" customWidth="1"/>
    <col min="264" max="295" width="14.83203125" style="2" customWidth="1"/>
    <col min="296" max="512" width="8.83203125" style="2" customWidth="1"/>
    <col min="513" max="513" width="45.83203125" style="2" customWidth="1"/>
    <col min="514" max="518" width="14.83203125" style="2" customWidth="1"/>
    <col min="519" max="519" width="3.83203125" style="2" customWidth="1"/>
    <col min="520" max="551" width="14.83203125" style="2" customWidth="1"/>
    <col min="552" max="768" width="8.83203125" style="2" customWidth="1"/>
    <col min="769" max="769" width="45.83203125" style="2" customWidth="1"/>
    <col min="770" max="774" width="14.83203125" style="2" customWidth="1"/>
    <col min="775" max="775" width="3.83203125" style="2" customWidth="1"/>
    <col min="776" max="807" width="14.83203125" style="2" customWidth="1"/>
    <col min="808" max="1024" width="8.83203125" style="2" customWidth="1"/>
    <col min="1025" max="1025" width="45.83203125" style="2" customWidth="1"/>
    <col min="1026" max="1030" width="14.83203125" style="2" customWidth="1"/>
    <col min="1031" max="1031" width="3.83203125" style="2" customWidth="1"/>
    <col min="1032" max="1063" width="14.83203125" style="2" customWidth="1"/>
    <col min="1064" max="1280" width="8.83203125" style="2" customWidth="1"/>
    <col min="1281" max="1281" width="45.83203125" style="2" customWidth="1"/>
    <col min="1282" max="1286" width="14.83203125" style="2" customWidth="1"/>
    <col min="1287" max="1287" width="3.83203125" style="2" customWidth="1"/>
    <col min="1288" max="1319" width="14.83203125" style="2" customWidth="1"/>
    <col min="1320" max="1536" width="8.83203125" style="2" customWidth="1"/>
    <col min="1537" max="1537" width="45.83203125" style="2" customWidth="1"/>
    <col min="1538" max="1542" width="14.83203125" style="2" customWidth="1"/>
    <col min="1543" max="1543" width="3.83203125" style="2" customWidth="1"/>
    <col min="1544" max="1575" width="14.83203125" style="2" customWidth="1"/>
    <col min="1576" max="1792" width="8.83203125" style="2" customWidth="1"/>
    <col min="1793" max="1793" width="45.83203125" style="2" customWidth="1"/>
    <col min="1794" max="1798" width="14.83203125" style="2" customWidth="1"/>
    <col min="1799" max="1799" width="3.83203125" style="2" customWidth="1"/>
    <col min="1800" max="1831" width="14.83203125" style="2" customWidth="1"/>
    <col min="1832" max="2048" width="8.83203125" style="2" customWidth="1"/>
    <col min="2049" max="2049" width="45.83203125" style="2" customWidth="1"/>
    <col min="2050" max="2054" width="14.83203125" style="2" customWidth="1"/>
    <col min="2055" max="2055" width="3.83203125" style="2" customWidth="1"/>
    <col min="2056" max="2087" width="14.83203125" style="2" customWidth="1"/>
    <col min="2088" max="2304" width="8.83203125" style="2" customWidth="1"/>
    <col min="2305" max="2305" width="45.83203125" style="2" customWidth="1"/>
    <col min="2306" max="2310" width="14.83203125" style="2" customWidth="1"/>
    <col min="2311" max="2311" width="3.83203125" style="2" customWidth="1"/>
    <col min="2312" max="2343" width="14.83203125" style="2" customWidth="1"/>
    <col min="2344" max="2560" width="8.83203125" style="2" customWidth="1"/>
    <col min="2561" max="2561" width="45.83203125" style="2" customWidth="1"/>
    <col min="2562" max="2566" width="14.83203125" style="2" customWidth="1"/>
    <col min="2567" max="2567" width="3.83203125" style="2" customWidth="1"/>
    <col min="2568" max="2599" width="14.83203125" style="2" customWidth="1"/>
    <col min="2600" max="2816" width="8.83203125" style="2" customWidth="1"/>
    <col min="2817" max="2817" width="45.83203125" style="2" customWidth="1"/>
    <col min="2818" max="2822" width="14.83203125" style="2" customWidth="1"/>
    <col min="2823" max="2823" width="3.83203125" style="2" customWidth="1"/>
    <col min="2824" max="2855" width="14.83203125" style="2" customWidth="1"/>
    <col min="2856" max="3072" width="8.83203125" style="2" customWidth="1"/>
    <col min="3073" max="3073" width="45.83203125" style="2" customWidth="1"/>
    <col min="3074" max="3078" width="14.83203125" style="2" customWidth="1"/>
    <col min="3079" max="3079" width="3.83203125" style="2" customWidth="1"/>
    <col min="3080" max="3111" width="14.83203125" style="2" customWidth="1"/>
    <col min="3112" max="3328" width="8.83203125" style="2" customWidth="1"/>
    <col min="3329" max="3329" width="45.83203125" style="2" customWidth="1"/>
    <col min="3330" max="3334" width="14.83203125" style="2" customWidth="1"/>
    <col min="3335" max="3335" width="3.83203125" style="2" customWidth="1"/>
    <col min="3336" max="3367" width="14.83203125" style="2" customWidth="1"/>
    <col min="3368" max="3584" width="8.83203125" style="2" customWidth="1"/>
    <col min="3585" max="3585" width="45.83203125" style="2" customWidth="1"/>
    <col min="3586" max="3590" width="14.83203125" style="2" customWidth="1"/>
    <col min="3591" max="3591" width="3.83203125" style="2" customWidth="1"/>
    <col min="3592" max="3623" width="14.83203125" style="2" customWidth="1"/>
    <col min="3624" max="3840" width="8.83203125" style="2" customWidth="1"/>
    <col min="3841" max="3841" width="45.83203125" style="2" customWidth="1"/>
    <col min="3842" max="3846" width="14.83203125" style="2" customWidth="1"/>
    <col min="3847" max="3847" width="3.83203125" style="2" customWidth="1"/>
    <col min="3848" max="3879" width="14.83203125" style="2" customWidth="1"/>
    <col min="3880" max="4096" width="8.83203125" style="2" customWidth="1"/>
    <col min="4097" max="4097" width="45.83203125" style="2" customWidth="1"/>
    <col min="4098" max="4102" width="14.83203125" style="2" customWidth="1"/>
    <col min="4103" max="4103" width="3.83203125" style="2" customWidth="1"/>
    <col min="4104" max="4135" width="14.83203125" style="2" customWidth="1"/>
    <col min="4136" max="4352" width="8.83203125" style="2" customWidth="1"/>
    <col min="4353" max="4353" width="45.83203125" style="2" customWidth="1"/>
    <col min="4354" max="4358" width="14.83203125" style="2" customWidth="1"/>
    <col min="4359" max="4359" width="3.83203125" style="2" customWidth="1"/>
    <col min="4360" max="4391" width="14.83203125" style="2" customWidth="1"/>
    <col min="4392" max="4608" width="8.83203125" style="2" customWidth="1"/>
    <col min="4609" max="4609" width="45.83203125" style="2" customWidth="1"/>
    <col min="4610" max="4614" width="14.83203125" style="2" customWidth="1"/>
    <col min="4615" max="4615" width="3.83203125" style="2" customWidth="1"/>
    <col min="4616" max="4647" width="14.83203125" style="2" customWidth="1"/>
    <col min="4648" max="4864" width="8.83203125" style="2" customWidth="1"/>
    <col min="4865" max="4865" width="45.83203125" style="2" customWidth="1"/>
    <col min="4866" max="4870" width="14.83203125" style="2" customWidth="1"/>
    <col min="4871" max="4871" width="3.83203125" style="2" customWidth="1"/>
    <col min="4872" max="4903" width="14.83203125" style="2" customWidth="1"/>
    <col min="4904" max="5120" width="8.83203125" style="2" customWidth="1"/>
    <col min="5121" max="5121" width="45.83203125" style="2" customWidth="1"/>
    <col min="5122" max="5126" width="14.83203125" style="2" customWidth="1"/>
    <col min="5127" max="5127" width="3.83203125" style="2" customWidth="1"/>
    <col min="5128" max="5159" width="14.83203125" style="2" customWidth="1"/>
    <col min="5160" max="5376" width="8.83203125" style="2" customWidth="1"/>
    <col min="5377" max="5377" width="45.83203125" style="2" customWidth="1"/>
    <col min="5378" max="5382" width="14.83203125" style="2" customWidth="1"/>
    <col min="5383" max="5383" width="3.83203125" style="2" customWidth="1"/>
    <col min="5384" max="5415" width="14.83203125" style="2" customWidth="1"/>
    <col min="5416" max="5632" width="8.83203125" style="2" customWidth="1"/>
    <col min="5633" max="5633" width="45.83203125" style="2" customWidth="1"/>
    <col min="5634" max="5638" width="14.83203125" style="2" customWidth="1"/>
    <col min="5639" max="5639" width="3.83203125" style="2" customWidth="1"/>
    <col min="5640" max="5671" width="14.83203125" style="2" customWidth="1"/>
    <col min="5672" max="5888" width="8.83203125" style="2" customWidth="1"/>
    <col min="5889" max="5889" width="45.83203125" style="2" customWidth="1"/>
    <col min="5890" max="5894" width="14.83203125" style="2" customWidth="1"/>
    <col min="5895" max="5895" width="3.83203125" style="2" customWidth="1"/>
    <col min="5896" max="5927" width="14.83203125" style="2" customWidth="1"/>
    <col min="5928" max="6144" width="8.83203125" style="2" customWidth="1"/>
    <col min="6145" max="6145" width="45.83203125" style="2" customWidth="1"/>
    <col min="6146" max="6150" width="14.83203125" style="2" customWidth="1"/>
    <col min="6151" max="6151" width="3.83203125" style="2" customWidth="1"/>
    <col min="6152" max="6183" width="14.83203125" style="2" customWidth="1"/>
    <col min="6184" max="6400" width="8.83203125" style="2" customWidth="1"/>
    <col min="6401" max="6401" width="45.83203125" style="2" customWidth="1"/>
    <col min="6402" max="6406" width="14.83203125" style="2" customWidth="1"/>
    <col min="6407" max="6407" width="3.83203125" style="2" customWidth="1"/>
    <col min="6408" max="6439" width="14.83203125" style="2" customWidth="1"/>
    <col min="6440" max="6656" width="8.83203125" style="2" customWidth="1"/>
    <col min="6657" max="6657" width="45.83203125" style="2" customWidth="1"/>
    <col min="6658" max="6662" width="14.83203125" style="2" customWidth="1"/>
    <col min="6663" max="6663" width="3.83203125" style="2" customWidth="1"/>
    <col min="6664" max="6695" width="14.83203125" style="2" customWidth="1"/>
    <col min="6696" max="6912" width="8.83203125" style="2" customWidth="1"/>
    <col min="6913" max="6913" width="45.83203125" style="2" customWidth="1"/>
    <col min="6914" max="6918" width="14.83203125" style="2" customWidth="1"/>
    <col min="6919" max="6919" width="3.83203125" style="2" customWidth="1"/>
    <col min="6920" max="6951" width="14.83203125" style="2" customWidth="1"/>
    <col min="6952" max="7168" width="8.83203125" style="2" customWidth="1"/>
    <col min="7169" max="7169" width="45.83203125" style="2" customWidth="1"/>
    <col min="7170" max="7174" width="14.83203125" style="2" customWidth="1"/>
    <col min="7175" max="7175" width="3.83203125" style="2" customWidth="1"/>
    <col min="7176" max="7207" width="14.83203125" style="2" customWidth="1"/>
    <col min="7208" max="7424" width="8.83203125" style="2" customWidth="1"/>
    <col min="7425" max="7425" width="45.83203125" style="2" customWidth="1"/>
    <col min="7426" max="7430" width="14.83203125" style="2" customWidth="1"/>
    <col min="7431" max="7431" width="3.83203125" style="2" customWidth="1"/>
    <col min="7432" max="7463" width="14.83203125" style="2" customWidth="1"/>
    <col min="7464" max="7680" width="8.83203125" style="2" customWidth="1"/>
    <col min="7681" max="7681" width="45.83203125" style="2" customWidth="1"/>
    <col min="7682" max="7686" width="14.83203125" style="2" customWidth="1"/>
    <col min="7687" max="7687" width="3.83203125" style="2" customWidth="1"/>
    <col min="7688" max="7719" width="14.83203125" style="2" customWidth="1"/>
    <col min="7720" max="7936" width="8.83203125" style="2" customWidth="1"/>
    <col min="7937" max="7937" width="45.83203125" style="2" customWidth="1"/>
    <col min="7938" max="7942" width="14.83203125" style="2" customWidth="1"/>
    <col min="7943" max="7943" width="3.83203125" style="2" customWidth="1"/>
    <col min="7944" max="7975" width="14.83203125" style="2" customWidth="1"/>
    <col min="7976" max="8192" width="8.83203125" style="2" customWidth="1"/>
    <col min="8193" max="8193" width="45.83203125" style="2" customWidth="1"/>
    <col min="8194" max="8198" width="14.83203125" style="2" customWidth="1"/>
    <col min="8199" max="8199" width="3.83203125" style="2" customWidth="1"/>
    <col min="8200" max="8231" width="14.83203125" style="2" customWidth="1"/>
    <col min="8232" max="8448" width="8.83203125" style="2" customWidth="1"/>
    <col min="8449" max="8449" width="45.83203125" style="2" customWidth="1"/>
    <col min="8450" max="8454" width="14.83203125" style="2" customWidth="1"/>
    <col min="8455" max="8455" width="3.83203125" style="2" customWidth="1"/>
    <col min="8456" max="8487" width="14.83203125" style="2" customWidth="1"/>
    <col min="8488" max="8704" width="8.83203125" style="2" customWidth="1"/>
    <col min="8705" max="8705" width="45.83203125" style="2" customWidth="1"/>
    <col min="8706" max="8710" width="14.83203125" style="2" customWidth="1"/>
    <col min="8711" max="8711" width="3.83203125" style="2" customWidth="1"/>
    <col min="8712" max="8743" width="14.83203125" style="2" customWidth="1"/>
    <col min="8744" max="8960" width="8.83203125" style="2" customWidth="1"/>
    <col min="8961" max="8961" width="45.83203125" style="2" customWidth="1"/>
    <col min="8962" max="8966" width="14.83203125" style="2" customWidth="1"/>
    <col min="8967" max="8967" width="3.83203125" style="2" customWidth="1"/>
    <col min="8968" max="8999" width="14.83203125" style="2" customWidth="1"/>
    <col min="9000" max="9216" width="8.83203125" style="2" customWidth="1"/>
    <col min="9217" max="9217" width="45.83203125" style="2" customWidth="1"/>
    <col min="9218" max="9222" width="14.83203125" style="2" customWidth="1"/>
    <col min="9223" max="9223" width="3.83203125" style="2" customWidth="1"/>
    <col min="9224" max="9255" width="14.83203125" style="2" customWidth="1"/>
    <col min="9256" max="9472" width="8.83203125" style="2" customWidth="1"/>
    <col min="9473" max="9473" width="45.83203125" style="2" customWidth="1"/>
    <col min="9474" max="9478" width="14.83203125" style="2" customWidth="1"/>
    <col min="9479" max="9479" width="3.83203125" style="2" customWidth="1"/>
    <col min="9480" max="9511" width="14.83203125" style="2" customWidth="1"/>
    <col min="9512" max="9728" width="8.83203125" style="2" customWidth="1"/>
    <col min="9729" max="9729" width="45.83203125" style="2" customWidth="1"/>
    <col min="9730" max="9734" width="14.83203125" style="2" customWidth="1"/>
    <col min="9735" max="9735" width="3.83203125" style="2" customWidth="1"/>
    <col min="9736" max="9767" width="14.83203125" style="2" customWidth="1"/>
    <col min="9768" max="9984" width="8.83203125" style="2" customWidth="1"/>
    <col min="9985" max="9985" width="45.83203125" style="2" customWidth="1"/>
    <col min="9986" max="9990" width="14.83203125" style="2" customWidth="1"/>
    <col min="9991" max="9991" width="3.83203125" style="2" customWidth="1"/>
    <col min="9992" max="10023" width="14.83203125" style="2" customWidth="1"/>
    <col min="10024" max="10240" width="8.83203125" style="2" customWidth="1"/>
    <col min="10241" max="10241" width="45.83203125" style="2" customWidth="1"/>
    <col min="10242" max="10246" width="14.83203125" style="2" customWidth="1"/>
    <col min="10247" max="10247" width="3.83203125" style="2" customWidth="1"/>
    <col min="10248" max="10279" width="14.83203125" style="2" customWidth="1"/>
    <col min="10280" max="10496" width="8.83203125" style="2" customWidth="1"/>
    <col min="10497" max="10497" width="45.83203125" style="2" customWidth="1"/>
    <col min="10498" max="10502" width="14.83203125" style="2" customWidth="1"/>
    <col min="10503" max="10503" width="3.83203125" style="2" customWidth="1"/>
    <col min="10504" max="10535" width="14.83203125" style="2" customWidth="1"/>
    <col min="10536" max="10752" width="8.83203125" style="2" customWidth="1"/>
    <col min="10753" max="10753" width="45.83203125" style="2" customWidth="1"/>
    <col min="10754" max="10758" width="14.83203125" style="2" customWidth="1"/>
    <col min="10759" max="10759" width="3.83203125" style="2" customWidth="1"/>
    <col min="10760" max="10791" width="14.83203125" style="2" customWidth="1"/>
    <col min="10792" max="11008" width="8.83203125" style="2" customWidth="1"/>
    <col min="11009" max="11009" width="45.83203125" style="2" customWidth="1"/>
    <col min="11010" max="11014" width="14.83203125" style="2" customWidth="1"/>
    <col min="11015" max="11015" width="3.83203125" style="2" customWidth="1"/>
    <col min="11016" max="11047" width="14.83203125" style="2" customWidth="1"/>
    <col min="11048" max="11264" width="8.83203125" style="2" customWidth="1"/>
    <col min="11265" max="11265" width="45.83203125" style="2" customWidth="1"/>
    <col min="11266" max="11270" width="14.83203125" style="2" customWidth="1"/>
    <col min="11271" max="11271" width="3.83203125" style="2" customWidth="1"/>
    <col min="11272" max="11303" width="14.83203125" style="2" customWidth="1"/>
    <col min="11304" max="11520" width="8.83203125" style="2" customWidth="1"/>
    <col min="11521" max="11521" width="45.83203125" style="2" customWidth="1"/>
    <col min="11522" max="11526" width="14.83203125" style="2" customWidth="1"/>
    <col min="11527" max="11527" width="3.83203125" style="2" customWidth="1"/>
    <col min="11528" max="11559" width="14.83203125" style="2" customWidth="1"/>
    <col min="11560" max="11776" width="8.83203125" style="2" customWidth="1"/>
    <col min="11777" max="11777" width="45.83203125" style="2" customWidth="1"/>
    <col min="11778" max="11782" width="14.83203125" style="2" customWidth="1"/>
    <col min="11783" max="11783" width="3.83203125" style="2" customWidth="1"/>
    <col min="11784" max="11815" width="14.83203125" style="2" customWidth="1"/>
    <col min="11816" max="12032" width="8.83203125" style="2" customWidth="1"/>
    <col min="12033" max="12033" width="45.83203125" style="2" customWidth="1"/>
    <col min="12034" max="12038" width="14.83203125" style="2" customWidth="1"/>
    <col min="12039" max="12039" width="3.83203125" style="2" customWidth="1"/>
    <col min="12040" max="12071" width="14.83203125" style="2" customWidth="1"/>
    <col min="12072" max="12288" width="8.83203125" style="2" customWidth="1"/>
    <col min="12289" max="12289" width="45.83203125" style="2" customWidth="1"/>
    <col min="12290" max="12294" width="14.83203125" style="2" customWidth="1"/>
    <col min="12295" max="12295" width="3.83203125" style="2" customWidth="1"/>
    <col min="12296" max="12327" width="14.83203125" style="2" customWidth="1"/>
    <col min="12328" max="12544" width="8.83203125" style="2" customWidth="1"/>
    <col min="12545" max="12545" width="45.83203125" style="2" customWidth="1"/>
    <col min="12546" max="12550" width="14.83203125" style="2" customWidth="1"/>
    <col min="12551" max="12551" width="3.83203125" style="2" customWidth="1"/>
    <col min="12552" max="12583" width="14.83203125" style="2" customWidth="1"/>
    <col min="12584" max="12800" width="8.83203125" style="2" customWidth="1"/>
    <col min="12801" max="12801" width="45.83203125" style="2" customWidth="1"/>
    <col min="12802" max="12806" width="14.83203125" style="2" customWidth="1"/>
    <col min="12807" max="12807" width="3.83203125" style="2" customWidth="1"/>
    <col min="12808" max="12839" width="14.83203125" style="2" customWidth="1"/>
    <col min="12840" max="13056" width="8.83203125" style="2" customWidth="1"/>
    <col min="13057" max="13057" width="45.83203125" style="2" customWidth="1"/>
    <col min="13058" max="13062" width="14.83203125" style="2" customWidth="1"/>
    <col min="13063" max="13063" width="3.83203125" style="2" customWidth="1"/>
    <col min="13064" max="13095" width="14.83203125" style="2" customWidth="1"/>
    <col min="13096" max="13312" width="8.83203125" style="2" customWidth="1"/>
    <col min="13313" max="13313" width="45.83203125" style="2" customWidth="1"/>
    <col min="13314" max="13318" width="14.83203125" style="2" customWidth="1"/>
    <col min="13319" max="13319" width="3.83203125" style="2" customWidth="1"/>
    <col min="13320" max="13351" width="14.83203125" style="2" customWidth="1"/>
    <col min="13352" max="13568" width="8.83203125" style="2" customWidth="1"/>
    <col min="13569" max="13569" width="45.83203125" style="2" customWidth="1"/>
    <col min="13570" max="13574" width="14.83203125" style="2" customWidth="1"/>
    <col min="13575" max="13575" width="3.83203125" style="2" customWidth="1"/>
    <col min="13576" max="13607" width="14.83203125" style="2" customWidth="1"/>
    <col min="13608" max="13824" width="8.83203125" style="2" customWidth="1"/>
    <col min="13825" max="13825" width="45.83203125" style="2" customWidth="1"/>
    <col min="13826" max="13830" width="14.83203125" style="2" customWidth="1"/>
    <col min="13831" max="13831" width="3.83203125" style="2" customWidth="1"/>
    <col min="13832" max="13863" width="14.83203125" style="2" customWidth="1"/>
    <col min="13864" max="14080" width="8.83203125" style="2" customWidth="1"/>
    <col min="14081" max="14081" width="45.83203125" style="2" customWidth="1"/>
    <col min="14082" max="14086" width="14.83203125" style="2" customWidth="1"/>
    <col min="14087" max="14087" width="3.83203125" style="2" customWidth="1"/>
    <col min="14088" max="14119" width="14.83203125" style="2" customWidth="1"/>
    <col min="14120" max="14336" width="8.83203125" style="2" customWidth="1"/>
    <col min="14337" max="14337" width="45.83203125" style="2" customWidth="1"/>
    <col min="14338" max="14342" width="14.83203125" style="2" customWidth="1"/>
    <col min="14343" max="14343" width="3.83203125" style="2" customWidth="1"/>
    <col min="14344" max="14375" width="14.83203125" style="2" customWidth="1"/>
    <col min="14376" max="14592" width="8.83203125" style="2" customWidth="1"/>
    <col min="14593" max="14593" width="45.83203125" style="2" customWidth="1"/>
    <col min="14594" max="14598" width="14.83203125" style="2" customWidth="1"/>
    <col min="14599" max="14599" width="3.83203125" style="2" customWidth="1"/>
    <col min="14600" max="14631" width="14.83203125" style="2" customWidth="1"/>
    <col min="14632" max="14848" width="8.83203125" style="2" customWidth="1"/>
    <col min="14849" max="14849" width="45.83203125" style="2" customWidth="1"/>
    <col min="14850" max="14854" width="14.83203125" style="2" customWidth="1"/>
    <col min="14855" max="14855" width="3.83203125" style="2" customWidth="1"/>
    <col min="14856" max="14887" width="14.83203125" style="2" customWidth="1"/>
    <col min="14888" max="15104" width="8.83203125" style="2" customWidth="1"/>
    <col min="15105" max="15105" width="45.83203125" style="2" customWidth="1"/>
    <col min="15106" max="15110" width="14.83203125" style="2" customWidth="1"/>
    <col min="15111" max="15111" width="3.83203125" style="2" customWidth="1"/>
    <col min="15112" max="15143" width="14.83203125" style="2" customWidth="1"/>
    <col min="15144" max="15360" width="8.83203125" style="2" customWidth="1"/>
    <col min="15361" max="15361" width="45.83203125" style="2" customWidth="1"/>
    <col min="15362" max="15366" width="14.83203125" style="2" customWidth="1"/>
    <col min="15367" max="15367" width="3.83203125" style="2" customWidth="1"/>
    <col min="15368" max="15399" width="14.83203125" style="2" customWidth="1"/>
    <col min="15400" max="15616" width="8.83203125" style="2" customWidth="1"/>
    <col min="15617" max="15617" width="45.83203125" style="2" customWidth="1"/>
    <col min="15618" max="15622" width="14.83203125" style="2" customWidth="1"/>
    <col min="15623" max="15623" width="3.83203125" style="2" customWidth="1"/>
    <col min="15624" max="15655" width="14.83203125" style="2" customWidth="1"/>
    <col min="15656" max="15872" width="8.83203125" style="2" customWidth="1"/>
    <col min="15873" max="15873" width="45.83203125" style="2" customWidth="1"/>
    <col min="15874" max="15878" width="14.83203125" style="2" customWidth="1"/>
    <col min="15879" max="15879" width="3.83203125" style="2" customWidth="1"/>
    <col min="15880" max="15911" width="14.83203125" style="2" customWidth="1"/>
    <col min="15912" max="16128" width="8.83203125" style="2" customWidth="1"/>
    <col min="16129" max="16129" width="45.83203125" style="2" customWidth="1"/>
    <col min="16130" max="16134" width="14.83203125" style="2" customWidth="1"/>
    <col min="16135" max="16135" width="3.83203125" style="2" customWidth="1"/>
    <col min="16136" max="16167" width="14.83203125" style="2" customWidth="1"/>
    <col min="16168" max="16384" width="8.83203125" style="2" customWidth="1"/>
  </cols>
  <sheetData>
    <row r="5" spans="1:223" x14ac:dyDescent="0.2">
      <c r="A5" s="1" t="s">
        <v>393</v>
      </c>
    </row>
    <row r="7" spans="1:223" x14ac:dyDescent="0.2">
      <c r="A7" s="5"/>
      <c r="B7" s="4" t="s">
        <v>78</v>
      </c>
      <c r="C7" s="2" t="s">
        <v>79</v>
      </c>
      <c r="D7" s="5" t="s">
        <v>4</v>
      </c>
      <c r="E7" s="4" t="s">
        <v>80</v>
      </c>
      <c r="F7" s="2" t="s">
        <v>81</v>
      </c>
    </row>
    <row r="8" spans="1:223" x14ac:dyDescent="0.2">
      <c r="A8" s="5"/>
      <c r="B8" s="4" t="s">
        <v>7</v>
      </c>
      <c r="C8" s="2" t="s">
        <v>8</v>
      </c>
      <c r="D8" s="5" t="s">
        <v>4</v>
      </c>
      <c r="E8" s="4" t="s">
        <v>11</v>
      </c>
      <c r="F8" s="6" t="s">
        <v>12</v>
      </c>
    </row>
    <row r="9" spans="1:223" x14ac:dyDescent="0.2">
      <c r="A9" s="5"/>
      <c r="B9" s="4" t="s">
        <v>83</v>
      </c>
      <c r="C9" s="2" t="s">
        <v>84</v>
      </c>
      <c r="D9" s="5" t="s">
        <v>4</v>
      </c>
      <c r="E9" s="7"/>
      <c r="F9" s="7"/>
    </row>
    <row r="12" spans="1:223" x14ac:dyDescent="0.2">
      <c r="A12" s="8" t="s">
        <v>394</v>
      </c>
      <c r="B12" s="8"/>
      <c r="C12" s="8"/>
      <c r="D12" s="8"/>
      <c r="E12" s="8"/>
      <c r="F12" s="8"/>
      <c r="G12" s="8"/>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9"/>
      <c r="FN12" s="9"/>
      <c r="FO12" s="9"/>
      <c r="FP12" s="9"/>
      <c r="FQ12" s="9"/>
      <c r="FR12" s="9"/>
      <c r="FS12" s="9"/>
      <c r="FT12" s="9"/>
      <c r="FU12" s="9"/>
      <c r="FV12" s="9"/>
      <c r="FW12" s="9"/>
      <c r="FX12" s="9"/>
      <c r="FY12" s="9"/>
      <c r="FZ12" s="9"/>
      <c r="GA12" s="9"/>
      <c r="GB12" s="9"/>
      <c r="GC12" s="9"/>
      <c r="GD12" s="9"/>
      <c r="GE12" s="9"/>
      <c r="GF12" s="9"/>
      <c r="GG12" s="9"/>
      <c r="GH12" s="9"/>
      <c r="GI12" s="9"/>
      <c r="GJ12" s="9"/>
      <c r="GK12" s="9"/>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row>
    <row r="13" spans="1:223" ht="28" customHeight="1" x14ac:dyDescent="0.2">
      <c r="A13" s="10" t="s">
        <v>16</v>
      </c>
      <c r="B13" s="11" t="s">
        <v>395</v>
      </c>
      <c r="C13" s="11" t="s">
        <v>396</v>
      </c>
      <c r="D13" s="11" t="s">
        <v>275</v>
      </c>
      <c r="E13" s="11" t="s">
        <v>397</v>
      </c>
      <c r="F13" s="11" t="s">
        <v>276</v>
      </c>
      <c r="G13" s="11" t="s">
        <v>91</v>
      </c>
    </row>
    <row r="14" spans="1:223" x14ac:dyDescent="0.2">
      <c r="A14" s="14" t="s">
        <v>398</v>
      </c>
      <c r="B14" s="5"/>
      <c r="C14" s="5"/>
      <c r="D14" s="5"/>
      <c r="E14" s="5"/>
      <c r="F14" s="5"/>
      <c r="G14" s="5"/>
    </row>
    <row r="15" spans="1:223" x14ac:dyDescent="0.2">
      <c r="A15" s="5" t="s">
        <v>399</v>
      </c>
      <c r="B15" s="20">
        <v>2.9839999999999998E-2</v>
      </c>
      <c r="C15" s="20">
        <v>2.2665999999999999E-2</v>
      </c>
      <c r="D15" s="20">
        <v>3.7817000000000003E-2</v>
      </c>
      <c r="E15" s="20">
        <v>3.4065999999999999E-2</v>
      </c>
      <c r="F15" s="20">
        <v>3.7927000000000002E-2</v>
      </c>
      <c r="G15" s="20">
        <v>4.3625999999999998E-2</v>
      </c>
    </row>
    <row r="16" spans="1:223" x14ac:dyDescent="0.2">
      <c r="A16" s="5" t="s">
        <v>400</v>
      </c>
      <c r="B16" s="20">
        <v>5.2760000000000001E-2</v>
      </c>
      <c r="C16" s="20">
        <v>3.7974000000000001E-2</v>
      </c>
      <c r="D16" s="20">
        <v>6.1083999999999999E-2</v>
      </c>
      <c r="E16" s="20">
        <v>5.5634999999999997E-2</v>
      </c>
      <c r="F16" s="20">
        <v>6.5486000000000003E-2</v>
      </c>
      <c r="G16" s="20">
        <v>7.0953000000000002E-2</v>
      </c>
    </row>
    <row r="17" spans="1:7" x14ac:dyDescent="0.2">
      <c r="A17" s="5" t="s">
        <v>401</v>
      </c>
      <c r="B17" s="20">
        <v>5.5072000000000003E-2</v>
      </c>
      <c r="C17" s="20">
        <v>4.1842999999999998E-2</v>
      </c>
      <c r="D17" s="20">
        <v>0.10995099999999999</v>
      </c>
      <c r="E17" s="20">
        <v>4.7219999999999998E-2</v>
      </c>
      <c r="F17" s="20">
        <v>0.147676</v>
      </c>
      <c r="G17" s="20">
        <v>0.13752300000000001</v>
      </c>
    </row>
    <row r="18" spans="1:7" x14ac:dyDescent="0.2">
      <c r="A18" s="5" t="s">
        <v>402</v>
      </c>
      <c r="B18" s="20">
        <v>5.4829000000000003E-2</v>
      </c>
      <c r="C18" s="20">
        <v>4.1463E-2</v>
      </c>
      <c r="D18" s="20">
        <v>0.10967200000000001</v>
      </c>
      <c r="E18" s="20">
        <v>4.7246000000000003E-2</v>
      </c>
      <c r="F18" s="20">
        <v>0.14723700000000001</v>
      </c>
      <c r="G18" s="20">
        <v>0.13712099999999999</v>
      </c>
    </row>
    <row r="19" spans="1:7" x14ac:dyDescent="0.2">
      <c r="A19" s="5"/>
      <c r="B19" s="5"/>
      <c r="C19" s="5"/>
      <c r="D19" s="5"/>
      <c r="E19" s="5"/>
      <c r="F19" s="5"/>
      <c r="G19" s="5"/>
    </row>
    <row r="20" spans="1:7" x14ac:dyDescent="0.2">
      <c r="A20" s="14" t="s">
        <v>403</v>
      </c>
      <c r="B20" s="5"/>
      <c r="C20" s="5"/>
      <c r="D20" s="5"/>
      <c r="E20" s="5"/>
      <c r="F20" s="5"/>
      <c r="G20" s="5"/>
    </row>
    <row r="21" spans="1:7" x14ac:dyDescent="0.2">
      <c r="A21" s="5" t="s">
        <v>404</v>
      </c>
      <c r="B21" s="20">
        <v>6.6085000000000005E-2</v>
      </c>
      <c r="C21" s="20">
        <v>6.2240999999999998E-2</v>
      </c>
      <c r="D21" s="20">
        <v>6.9036E-2</v>
      </c>
      <c r="E21" s="20">
        <v>6.5061999999999995E-2</v>
      </c>
      <c r="F21" s="20">
        <v>7.1170999999999998E-2</v>
      </c>
      <c r="G21" s="20">
        <v>7.6577000000000006E-2</v>
      </c>
    </row>
    <row r="22" spans="1:7" x14ac:dyDescent="0.2">
      <c r="A22" s="5" t="s">
        <v>405</v>
      </c>
      <c r="B22" s="20">
        <v>2.0863E-2</v>
      </c>
      <c r="C22" s="20">
        <v>2.4702999999999999E-2</v>
      </c>
      <c r="D22" s="20">
        <v>2.2887000000000001E-2</v>
      </c>
      <c r="E22" s="20">
        <v>2.5336000000000001E-2</v>
      </c>
      <c r="F22" s="20">
        <v>2.9829000000000001E-2</v>
      </c>
      <c r="G22" s="20">
        <v>3.3682999999999998E-2</v>
      </c>
    </row>
    <row r="23" spans="1:7" x14ac:dyDescent="0.2">
      <c r="A23" s="5" t="s">
        <v>406</v>
      </c>
      <c r="B23" s="20">
        <v>6.6532999999999995E-2</v>
      </c>
      <c r="C23" s="20">
        <v>4.7919999999999997E-2</v>
      </c>
      <c r="D23" s="20">
        <v>6.2630000000000005E-2</v>
      </c>
      <c r="E23" s="20">
        <v>5.6979000000000002E-2</v>
      </c>
      <c r="F23" s="20">
        <v>5.8222000000000003E-2</v>
      </c>
      <c r="G23" s="20">
        <v>6.0415000000000003E-2</v>
      </c>
    </row>
    <row r="24" spans="1:7" x14ac:dyDescent="0.2">
      <c r="A24" s="5" t="s">
        <v>407</v>
      </c>
      <c r="B24" s="20">
        <v>5.1402000000000003E-2</v>
      </c>
      <c r="C24" s="20">
        <v>3.2287000000000003E-2</v>
      </c>
      <c r="D24" s="20">
        <v>4.8056000000000001E-2</v>
      </c>
      <c r="E24" s="20">
        <v>4.3506999999999997E-2</v>
      </c>
      <c r="F24" s="20">
        <v>4.5081000000000003E-2</v>
      </c>
      <c r="G24" s="20">
        <v>4.6998999999999999E-2</v>
      </c>
    </row>
    <row r="25" spans="1:7" x14ac:dyDescent="0.2">
      <c r="A25" s="5" t="s">
        <v>408</v>
      </c>
      <c r="B25" s="20">
        <v>4.5221999999999998E-2</v>
      </c>
      <c r="C25" s="20">
        <v>3.0904999999999998E-2</v>
      </c>
      <c r="D25" s="20">
        <v>4.6785E-2</v>
      </c>
      <c r="E25" s="20">
        <v>3.9725999999999997E-2</v>
      </c>
      <c r="F25" s="20">
        <v>4.1341999999999997E-2</v>
      </c>
      <c r="G25" s="20">
        <v>4.2894000000000002E-2</v>
      </c>
    </row>
    <row r="26" spans="1:7" x14ac:dyDescent="0.2">
      <c r="A26" s="5" t="s">
        <v>409</v>
      </c>
      <c r="B26" s="20">
        <v>1.2704E-2</v>
      </c>
      <c r="C26" s="20">
        <v>9.1900000000000003E-3</v>
      </c>
      <c r="D26" s="20">
        <v>2.4826999999999998E-2</v>
      </c>
      <c r="E26" s="20">
        <v>1.0073E-2</v>
      </c>
      <c r="F26" s="20">
        <v>2.5870000000000001E-2</v>
      </c>
      <c r="G26" s="20">
        <v>2.2941E-2</v>
      </c>
    </row>
    <row r="27" spans="1:7" x14ac:dyDescent="0.2">
      <c r="A27" s="5" t="s">
        <v>410</v>
      </c>
      <c r="B27" s="20">
        <v>1.6715000000000001E-2</v>
      </c>
      <c r="C27" s="20">
        <v>0.102855</v>
      </c>
      <c r="D27" s="20">
        <v>2.4142E-2</v>
      </c>
      <c r="E27" s="20">
        <v>1.1282E-2</v>
      </c>
      <c r="F27" s="20">
        <v>1.7422E-2</v>
      </c>
      <c r="G27" s="20">
        <v>2.3255999999999999E-2</v>
      </c>
    </row>
    <row r="28" spans="1:7" x14ac:dyDescent="0.2">
      <c r="A28" s="5" t="s">
        <v>411</v>
      </c>
      <c r="B28" s="20">
        <v>1.2669E-2</v>
      </c>
      <c r="C28" s="20">
        <v>9.1210000000000006E-3</v>
      </c>
      <c r="D28" s="20">
        <v>2.4794E-2</v>
      </c>
      <c r="E28" s="20">
        <v>1.0088E-2</v>
      </c>
      <c r="F28" s="20">
        <v>2.5811000000000001E-2</v>
      </c>
      <c r="G28" s="20">
        <v>2.2884000000000002E-2</v>
      </c>
    </row>
    <row r="29" spans="1:7" x14ac:dyDescent="0.2">
      <c r="A29" s="5" t="s">
        <v>412</v>
      </c>
      <c r="B29" s="20">
        <v>1.8643E-2</v>
      </c>
      <c r="C29" s="20">
        <v>1.1601999999999999E-2</v>
      </c>
      <c r="D29" s="20">
        <v>2.4063000000000001E-2</v>
      </c>
      <c r="E29" s="20">
        <v>1.8461999999999999E-2</v>
      </c>
      <c r="F29" s="20">
        <v>2.1122999999999999E-2</v>
      </c>
      <c r="G29" s="20">
        <v>2.2683999999999999E-2</v>
      </c>
    </row>
    <row r="30" spans="1:7" x14ac:dyDescent="0.2">
      <c r="A30" s="5" t="s">
        <v>413</v>
      </c>
      <c r="B30" s="20">
        <v>1.089E-2</v>
      </c>
      <c r="C30" s="20">
        <v>1.7499000000000001E-2</v>
      </c>
      <c r="D30" s="20">
        <v>3.7774000000000002E-2</v>
      </c>
      <c r="E30" s="20">
        <v>2.4504999999999999E-2</v>
      </c>
      <c r="F30" s="20">
        <v>1.2957E-2</v>
      </c>
      <c r="G30" s="20">
        <v>3.5109000000000001E-2</v>
      </c>
    </row>
    <row r="31" spans="1:7" x14ac:dyDescent="0.2">
      <c r="A31" s="5" t="s">
        <v>414</v>
      </c>
      <c r="B31" s="20">
        <v>1.8658000000000001E-2</v>
      </c>
      <c r="C31" s="20">
        <v>2.5068E-2</v>
      </c>
      <c r="D31" s="20">
        <v>4.4416999999999998E-2</v>
      </c>
      <c r="E31" s="20">
        <v>3.1288999999999997E-2</v>
      </c>
      <c r="F31" s="20">
        <v>2.0353E-2</v>
      </c>
      <c r="G31" s="20">
        <v>4.1984E-2</v>
      </c>
    </row>
    <row r="32" spans="1:7" x14ac:dyDescent="0.2">
      <c r="A32" s="5"/>
      <c r="B32" s="5"/>
      <c r="C32" s="5"/>
      <c r="D32" s="5"/>
      <c r="E32" s="5"/>
      <c r="F32" s="5"/>
      <c r="G32" s="5"/>
    </row>
    <row r="33" spans="1:7" x14ac:dyDescent="0.2">
      <c r="A33" s="14" t="s">
        <v>415</v>
      </c>
      <c r="B33" s="5"/>
      <c r="C33" s="5"/>
      <c r="D33" s="5"/>
      <c r="E33" s="5"/>
      <c r="F33" s="5"/>
      <c r="G33" s="5"/>
    </row>
    <row r="34" spans="1:7" x14ac:dyDescent="0.2">
      <c r="A34" s="5" t="s">
        <v>416</v>
      </c>
      <c r="B34" s="41">
        <v>1.055768</v>
      </c>
      <c r="C34" s="41">
        <v>1.173476</v>
      </c>
      <c r="D34" s="41">
        <v>1.293317</v>
      </c>
      <c r="E34" s="41">
        <v>1.372037</v>
      </c>
      <c r="F34" s="41">
        <v>1.467854</v>
      </c>
      <c r="G34" s="41">
        <v>1.6272960000000001</v>
      </c>
    </row>
    <row r="35" spans="1:7" x14ac:dyDescent="0.2">
      <c r="A35" s="5" t="s">
        <v>417</v>
      </c>
      <c r="B35" s="41">
        <v>2.224472</v>
      </c>
      <c r="C35" s="41">
        <v>2.4005049999999999</v>
      </c>
      <c r="D35" s="41">
        <v>2.6874020000000001</v>
      </c>
      <c r="E35" s="41">
        <v>2.8954140000000002</v>
      </c>
      <c r="F35" s="41">
        <v>3.0271020000000002</v>
      </c>
      <c r="G35" s="41">
        <v>3.071205</v>
      </c>
    </row>
    <row r="36" spans="1:7" x14ac:dyDescent="0.2">
      <c r="A36" s="5" t="s">
        <v>418</v>
      </c>
      <c r="B36" s="41">
        <v>38.712152000000003</v>
      </c>
      <c r="C36" s="41">
        <v>42.987589</v>
      </c>
      <c r="D36" s="41">
        <v>48.029294999999998</v>
      </c>
      <c r="E36" s="41">
        <v>51.766212000000003</v>
      </c>
      <c r="F36" s="41">
        <v>52.378481999999998</v>
      </c>
      <c r="G36" s="41">
        <v>54.076591999999998</v>
      </c>
    </row>
    <row r="37" spans="1:7" x14ac:dyDescent="0.2">
      <c r="A37" s="5" t="s">
        <v>419</v>
      </c>
      <c r="B37" s="41">
        <v>21.139405</v>
      </c>
      <c r="C37" s="41">
        <v>23.871168000000001</v>
      </c>
      <c r="D37" s="41">
        <v>25.640198999999999</v>
      </c>
      <c r="E37" s="41">
        <v>24.917301999999999</v>
      </c>
      <c r="F37" s="41">
        <v>24.422156999999999</v>
      </c>
      <c r="G37" s="41">
        <v>23.650933999999999</v>
      </c>
    </row>
    <row r="38" spans="1:7" x14ac:dyDescent="0.2">
      <c r="A38" s="5"/>
      <c r="B38" s="5"/>
      <c r="C38" s="5"/>
      <c r="D38" s="5"/>
      <c r="E38" s="5"/>
      <c r="F38" s="5"/>
      <c r="G38" s="5"/>
    </row>
    <row r="39" spans="1:7" x14ac:dyDescent="0.2">
      <c r="A39" s="14" t="s">
        <v>420</v>
      </c>
      <c r="B39" s="5"/>
      <c r="C39" s="5"/>
      <c r="D39" s="5"/>
      <c r="E39" s="5"/>
      <c r="F39" s="5"/>
      <c r="G39" s="5"/>
    </row>
    <row r="40" spans="1:7" x14ac:dyDescent="0.2">
      <c r="A40" s="5" t="s">
        <v>421</v>
      </c>
      <c r="B40" s="41">
        <v>0.74469300000000005</v>
      </c>
      <c r="C40" s="41">
        <v>0.67556400000000005</v>
      </c>
      <c r="D40" s="41">
        <v>0.75525100000000001</v>
      </c>
      <c r="E40" s="41">
        <v>0.708063</v>
      </c>
      <c r="F40" s="41">
        <v>0.81115599999999999</v>
      </c>
      <c r="G40" s="41">
        <v>0.64080999999999999</v>
      </c>
    </row>
    <row r="41" spans="1:7" x14ac:dyDescent="0.2">
      <c r="A41" s="5" t="s">
        <v>422</v>
      </c>
      <c r="B41" s="41">
        <v>0.59562599999999999</v>
      </c>
      <c r="C41" s="41">
        <v>0.50609400000000004</v>
      </c>
      <c r="D41" s="41">
        <v>0.57946500000000001</v>
      </c>
      <c r="E41" s="41">
        <v>0.550369</v>
      </c>
      <c r="F41" s="41">
        <v>0.29957899999999998</v>
      </c>
      <c r="G41" s="41">
        <v>0.42445699999999997</v>
      </c>
    </row>
    <row r="42" spans="1:7" x14ac:dyDescent="0.2">
      <c r="A42" s="5" t="s">
        <v>423</v>
      </c>
      <c r="B42" s="41">
        <v>2.5720000000000001E-3</v>
      </c>
      <c r="C42" s="41">
        <v>3.7631999999999999E-2</v>
      </c>
      <c r="D42" s="41">
        <v>0.23279</v>
      </c>
      <c r="E42" s="41">
        <v>0.21135699999999999</v>
      </c>
      <c r="F42" s="41">
        <v>0.187524</v>
      </c>
      <c r="G42" s="41">
        <v>0.21143200000000001</v>
      </c>
    </row>
    <row r="43" spans="1:7" x14ac:dyDescent="0.2">
      <c r="A43" s="5" t="s">
        <v>424</v>
      </c>
      <c r="B43" s="15">
        <v>9.5833010000000005</v>
      </c>
      <c r="C43" s="15">
        <v>8.4673680000000004</v>
      </c>
      <c r="D43" s="15">
        <v>7.5784799999999999</v>
      </c>
      <c r="E43" s="15">
        <v>7.0313879999999997</v>
      </c>
      <c r="F43" s="15">
        <v>6.9491240000000003</v>
      </c>
      <c r="G43" s="15">
        <v>6.7310879999999997</v>
      </c>
    </row>
    <row r="44" spans="1:7" x14ac:dyDescent="0.2">
      <c r="A44" s="5" t="s">
        <v>425</v>
      </c>
      <c r="B44" s="15">
        <v>17.550155</v>
      </c>
      <c r="C44" s="15">
        <v>15.248324</v>
      </c>
      <c r="D44" s="15">
        <v>14.196364000000001</v>
      </c>
      <c r="E44" s="15">
        <v>14.608048</v>
      </c>
      <c r="F44" s="15">
        <v>14.904344</v>
      </c>
      <c r="G44" s="15">
        <v>15.390283999999999</v>
      </c>
    </row>
    <row r="45" spans="1:7" x14ac:dyDescent="0.2">
      <c r="A45" s="5" t="s">
        <v>426</v>
      </c>
      <c r="B45" s="15">
        <v>62.956102999999999</v>
      </c>
      <c r="C45" s="15">
        <v>59.067008000000001</v>
      </c>
      <c r="D45" s="15">
        <v>56.349020000000003</v>
      </c>
      <c r="E45" s="15">
        <v>56.907395999999999</v>
      </c>
      <c r="F45" s="15">
        <v>57.897840000000002</v>
      </c>
      <c r="G45" s="15">
        <v>58.636760000000002</v>
      </c>
    </row>
    <row r="46" spans="1:7" x14ac:dyDescent="0.2">
      <c r="A46" s="5" t="s">
        <v>427</v>
      </c>
      <c r="B46" s="15">
        <v>-35.799999999999997</v>
      </c>
      <c r="C46" s="15">
        <v>-35.4</v>
      </c>
      <c r="D46" s="15">
        <v>-34.6</v>
      </c>
      <c r="E46" s="15">
        <v>-35.299999999999997</v>
      </c>
      <c r="F46" s="15">
        <v>-36</v>
      </c>
      <c r="G46" s="15">
        <v>-36.5</v>
      </c>
    </row>
    <row r="47" spans="1:7" x14ac:dyDescent="0.2">
      <c r="A47" s="5"/>
      <c r="B47" s="5"/>
      <c r="C47" s="5"/>
      <c r="D47" s="5"/>
      <c r="E47" s="5"/>
      <c r="F47" s="5"/>
      <c r="G47" s="5"/>
    </row>
    <row r="48" spans="1:7" x14ac:dyDescent="0.2">
      <c r="A48" s="14" t="s">
        <v>428</v>
      </c>
      <c r="B48" s="5"/>
      <c r="C48" s="5"/>
      <c r="D48" s="5"/>
      <c r="E48" s="5"/>
      <c r="F48" s="5"/>
      <c r="G48" s="5"/>
    </row>
    <row r="49" spans="1:7" x14ac:dyDescent="0.2">
      <c r="A49" s="5" t="s">
        <v>429</v>
      </c>
      <c r="B49" s="20">
        <v>1.3306899999999999</v>
      </c>
      <c r="C49" s="20">
        <v>1.299444</v>
      </c>
      <c r="D49" s="20">
        <v>0.98165400000000003</v>
      </c>
      <c r="E49" s="20">
        <v>1.233374</v>
      </c>
      <c r="F49" s="20">
        <v>1.272267</v>
      </c>
      <c r="G49" s="20">
        <v>1.2575879999999999</v>
      </c>
    </row>
    <row r="50" spans="1:7" x14ac:dyDescent="0.2">
      <c r="A50" s="5" t="s">
        <v>430</v>
      </c>
      <c r="B50" s="20">
        <v>0.57094199999999995</v>
      </c>
      <c r="C50" s="20">
        <v>0.56511199999999995</v>
      </c>
      <c r="D50" s="20">
        <v>0.49537100000000001</v>
      </c>
      <c r="E50" s="20">
        <v>0.55224700000000004</v>
      </c>
      <c r="F50" s="20">
        <v>0.55991000000000002</v>
      </c>
      <c r="G50" s="20">
        <v>0.55704900000000002</v>
      </c>
    </row>
    <row r="51" spans="1:7" x14ac:dyDescent="0.2">
      <c r="A51" s="5" t="s">
        <v>431</v>
      </c>
      <c r="B51" s="20">
        <v>1.1199790000000001</v>
      </c>
      <c r="C51" s="20">
        <v>1.162202</v>
      </c>
      <c r="D51" s="20">
        <v>0.90034499999999995</v>
      </c>
      <c r="E51" s="20">
        <v>1.0399179999999999</v>
      </c>
      <c r="F51" s="20">
        <v>1.090527</v>
      </c>
      <c r="G51" s="20">
        <v>1.045018</v>
      </c>
    </row>
    <row r="52" spans="1:7" x14ac:dyDescent="0.2">
      <c r="A52" s="5" t="s">
        <v>432</v>
      </c>
      <c r="B52" s="20">
        <v>0.48053499999999999</v>
      </c>
      <c r="C52" s="20">
        <v>0.50542699999999996</v>
      </c>
      <c r="D52" s="20">
        <v>0.45434000000000002</v>
      </c>
      <c r="E52" s="20">
        <v>0.46562599999999998</v>
      </c>
      <c r="F52" s="20">
        <v>0.47992899999999999</v>
      </c>
      <c r="G52" s="20">
        <v>0.462891</v>
      </c>
    </row>
    <row r="53" spans="1:7" x14ac:dyDescent="0.2">
      <c r="A53" s="5" t="s">
        <v>433</v>
      </c>
      <c r="B53" s="20">
        <v>0.74845200000000001</v>
      </c>
      <c r="C53" s="20">
        <v>0.73503600000000002</v>
      </c>
      <c r="D53" s="20">
        <v>0.68300499999999997</v>
      </c>
      <c r="E53" s="20">
        <v>0.73347399999999996</v>
      </c>
      <c r="F53" s="20">
        <v>0.75201399999999996</v>
      </c>
      <c r="G53" s="20">
        <v>0.70012799999999997</v>
      </c>
    </row>
    <row r="54" spans="1:7" x14ac:dyDescent="0.2">
      <c r="A54" s="5"/>
      <c r="B54" s="5"/>
      <c r="C54" s="5"/>
      <c r="D54" s="5"/>
      <c r="E54" s="5"/>
      <c r="F54" s="5"/>
      <c r="G54" s="5"/>
    </row>
    <row r="55" spans="1:7" x14ac:dyDescent="0.2">
      <c r="A55" s="5" t="s">
        <v>434</v>
      </c>
      <c r="B55" s="41">
        <v>3.6385040000000002</v>
      </c>
      <c r="C55" s="41">
        <v>2.5520679999999998</v>
      </c>
      <c r="D55" s="41">
        <v>4.40184</v>
      </c>
      <c r="E55" s="41">
        <v>3.6600839999999999</v>
      </c>
      <c r="F55" s="41">
        <v>3.4931839999999998</v>
      </c>
      <c r="G55" s="41">
        <v>3.8998689999999998</v>
      </c>
    </row>
    <row r="56" spans="1:7" x14ac:dyDescent="0.2">
      <c r="A56" s="5" t="s">
        <v>435</v>
      </c>
      <c r="B56" s="41">
        <v>6.1440440000000001</v>
      </c>
      <c r="C56" s="41">
        <v>4.7574889999999996</v>
      </c>
      <c r="D56" s="41">
        <v>6.7162569999999997</v>
      </c>
      <c r="E56" s="41">
        <v>6.0084619999999997</v>
      </c>
      <c r="F56" s="41">
        <v>5.5923170000000004</v>
      </c>
      <c r="G56" s="41">
        <v>6.208062</v>
      </c>
    </row>
    <row r="57" spans="1:7" x14ac:dyDescent="0.2">
      <c r="A57" s="5" t="s">
        <v>436</v>
      </c>
      <c r="B57" s="41">
        <v>4.7548469999999998</v>
      </c>
      <c r="C57" s="41">
        <v>3.087018</v>
      </c>
      <c r="D57" s="41">
        <v>5.2607359999999996</v>
      </c>
      <c r="E57" s="41">
        <v>4.6389279999999999</v>
      </c>
      <c r="F57" s="41">
        <v>4.2193300000000002</v>
      </c>
      <c r="G57" s="41">
        <v>4.5864750000000001</v>
      </c>
    </row>
    <row r="58" spans="1:7" x14ac:dyDescent="0.2">
      <c r="A58" s="5" t="s">
        <v>437</v>
      </c>
      <c r="B58" s="41">
        <v>4.0103689999999999</v>
      </c>
      <c r="C58" s="41">
        <v>4.6986499999999998</v>
      </c>
      <c r="D58" s="41">
        <v>3.5069650000000001</v>
      </c>
      <c r="E58" s="41">
        <v>3.5394359999999998</v>
      </c>
      <c r="F58" s="41">
        <v>3.2884989999999998</v>
      </c>
      <c r="G58" s="41">
        <v>3.0720559999999999</v>
      </c>
    </row>
    <row r="59" spans="1:7" x14ac:dyDescent="0.2">
      <c r="A59" s="5" t="s">
        <v>438</v>
      </c>
      <c r="B59" s="41">
        <v>2.8352110000000001</v>
      </c>
      <c r="C59" s="41">
        <v>3.6428780000000001</v>
      </c>
      <c r="D59" s="41">
        <v>2.4457629999999999</v>
      </c>
      <c r="E59" s="41">
        <v>2.4957739999999999</v>
      </c>
      <c r="F59" s="41">
        <v>2.2528250000000001</v>
      </c>
      <c r="G59" s="41">
        <v>2.1024289999999999</v>
      </c>
    </row>
    <row r="60" spans="1:7" x14ac:dyDescent="0.2">
      <c r="A60" s="5" t="s">
        <v>439</v>
      </c>
      <c r="B60" s="41">
        <v>5.1820560000000002</v>
      </c>
      <c r="C60" s="41">
        <v>7.2412190000000001</v>
      </c>
      <c r="D60" s="41">
        <v>4.4772590000000001</v>
      </c>
      <c r="E60" s="41">
        <v>4.5843720000000001</v>
      </c>
      <c r="F60" s="41">
        <v>4.3585900000000004</v>
      </c>
      <c r="G60" s="41">
        <v>4.1582080000000001</v>
      </c>
    </row>
    <row r="61" spans="1:7" x14ac:dyDescent="0.2">
      <c r="A61" s="5" t="s">
        <v>440</v>
      </c>
      <c r="B61" s="41">
        <v>3.6635589999999998</v>
      </c>
      <c r="C61" s="41">
        <v>5.6141399999999999</v>
      </c>
      <c r="D61" s="41">
        <v>3.1224479999999999</v>
      </c>
      <c r="E61" s="41">
        <v>3.232593</v>
      </c>
      <c r="F61" s="41">
        <v>2.985903</v>
      </c>
      <c r="G61" s="41">
        <v>2.845761</v>
      </c>
    </row>
    <row r="62" spans="1:7" x14ac:dyDescent="0.2">
      <c r="A62" s="5"/>
      <c r="B62" s="5"/>
      <c r="C62" s="5"/>
      <c r="D62" s="5"/>
      <c r="E62" s="5"/>
      <c r="F62" s="5"/>
      <c r="G62" s="5"/>
    </row>
    <row r="63" spans="1:7" x14ac:dyDescent="0.2">
      <c r="A63" s="5" t="s">
        <v>441</v>
      </c>
      <c r="B63" s="19">
        <v>1.6040030000000001</v>
      </c>
      <c r="C63" s="19">
        <v>1.757498</v>
      </c>
      <c r="D63" s="19">
        <v>1.881648</v>
      </c>
      <c r="E63" s="19">
        <v>1.911451</v>
      </c>
      <c r="F63" s="19">
        <v>1.9615480000000001</v>
      </c>
      <c r="G63" s="19">
        <v>2.5081739999999999</v>
      </c>
    </row>
    <row r="64" spans="1:7" x14ac:dyDescent="0.2">
      <c r="A64" s="5"/>
      <c r="B64" s="5"/>
      <c r="C64" s="5"/>
      <c r="D64" s="5"/>
      <c r="E64" s="5"/>
      <c r="F64" s="5"/>
      <c r="G64" s="5"/>
    </row>
    <row r="65" spans="1:7" x14ac:dyDescent="0.2">
      <c r="A65" s="14" t="s">
        <v>442</v>
      </c>
      <c r="B65" s="5"/>
      <c r="C65" s="5"/>
      <c r="D65" s="5"/>
      <c r="E65" s="5"/>
      <c r="F65" s="5"/>
      <c r="G65" s="5"/>
    </row>
    <row r="66" spans="1:7" x14ac:dyDescent="0.2">
      <c r="A66" s="5" t="s">
        <v>96</v>
      </c>
      <c r="B66" s="20">
        <v>-9.1064999999999993E-2</v>
      </c>
      <c r="C66" s="20">
        <v>-3.5119999999999999E-3</v>
      </c>
      <c r="D66" s="20">
        <v>5.9719000000000001E-2</v>
      </c>
      <c r="E66" s="20">
        <v>6.4847000000000002E-2</v>
      </c>
      <c r="F66" s="20">
        <v>4.3859000000000002E-2</v>
      </c>
      <c r="G66" s="20">
        <v>2.5356E-2</v>
      </c>
    </row>
    <row r="67" spans="1:7" x14ac:dyDescent="0.2">
      <c r="A67" s="5" t="s">
        <v>101</v>
      </c>
      <c r="B67" s="20">
        <v>-3.4700000000000002E-2</v>
      </c>
      <c r="C67" s="20">
        <v>-6.1475000000000002E-2</v>
      </c>
      <c r="D67" s="20">
        <v>0.17540900000000001</v>
      </c>
      <c r="E67" s="20">
        <v>3.5409999999999999E-3</v>
      </c>
      <c r="F67" s="20">
        <v>0.14188200000000001</v>
      </c>
      <c r="G67" s="20">
        <v>0.10323499999999999</v>
      </c>
    </row>
    <row r="68" spans="1:7" x14ac:dyDescent="0.2">
      <c r="A68" s="5" t="s">
        <v>443</v>
      </c>
      <c r="B68" s="20">
        <v>2.547E-2</v>
      </c>
      <c r="C68" s="20">
        <v>-0.282277</v>
      </c>
      <c r="D68" s="20">
        <v>0.38500299999999998</v>
      </c>
      <c r="E68" s="20">
        <v>-3.1234000000000001E-2</v>
      </c>
      <c r="F68" s="20">
        <v>6.6629999999999995E-2</v>
      </c>
      <c r="G68" s="20">
        <v>6.3978999999999994E-2</v>
      </c>
    </row>
    <row r="69" spans="1:7" x14ac:dyDescent="0.2">
      <c r="A69" s="5" t="s">
        <v>444</v>
      </c>
      <c r="B69" s="20">
        <v>0.135793</v>
      </c>
      <c r="C69" s="20">
        <v>-0.37408000000000002</v>
      </c>
      <c r="D69" s="20">
        <v>0.57731399999999999</v>
      </c>
      <c r="E69" s="20">
        <v>-3.5957000000000003E-2</v>
      </c>
      <c r="F69" s="20">
        <v>8.1631999999999996E-2</v>
      </c>
      <c r="G69" s="20">
        <v>6.8964999999999999E-2</v>
      </c>
    </row>
    <row r="70" spans="1:7" x14ac:dyDescent="0.2">
      <c r="A70" s="5" t="s">
        <v>445</v>
      </c>
      <c r="B70" s="20">
        <v>3.2625000000000001E-2</v>
      </c>
      <c r="C70" s="20">
        <v>-0.318996</v>
      </c>
      <c r="D70" s="20">
        <v>0.60424800000000001</v>
      </c>
      <c r="E70" s="20">
        <v>-9.5819000000000001E-2</v>
      </c>
      <c r="F70" s="20">
        <v>8.6319000000000007E-2</v>
      </c>
      <c r="G70" s="20">
        <v>6.3852000000000006E-2</v>
      </c>
    </row>
    <row r="71" spans="1:7" x14ac:dyDescent="0.2">
      <c r="A71" s="5" t="s">
        <v>126</v>
      </c>
      <c r="B71" s="20">
        <v>-0.41889799999999999</v>
      </c>
      <c r="C71" s="20">
        <v>-0.27913300000000002</v>
      </c>
      <c r="D71" s="20">
        <v>1.862781</v>
      </c>
      <c r="E71" s="20">
        <v>-0.56795799999999996</v>
      </c>
      <c r="F71" s="20">
        <v>1.6808510000000001</v>
      </c>
      <c r="G71" s="20">
        <v>-9.0703000000000006E-2</v>
      </c>
    </row>
    <row r="72" spans="1:7" x14ac:dyDescent="0.2">
      <c r="A72" s="5" t="s">
        <v>131</v>
      </c>
      <c r="B72" s="20">
        <v>-0.23663600000000001</v>
      </c>
      <c r="C72" s="20">
        <v>5.1318219999999997</v>
      </c>
      <c r="D72" s="20">
        <v>-0.75126000000000004</v>
      </c>
      <c r="E72" s="20">
        <v>-0.50236400000000003</v>
      </c>
      <c r="F72" s="20">
        <v>0.61194000000000004</v>
      </c>
      <c r="G72" s="20">
        <v>0.36868600000000001</v>
      </c>
    </row>
    <row r="73" spans="1:7" x14ac:dyDescent="0.2">
      <c r="A73" s="5" t="s">
        <v>446</v>
      </c>
      <c r="B73" s="20">
        <v>4.4050000000000001E-3</v>
      </c>
      <c r="C73" s="20">
        <v>-0.37984800000000002</v>
      </c>
      <c r="D73" s="20">
        <v>1.1978409999999999</v>
      </c>
      <c r="E73" s="20">
        <v>-0.18299699999999999</v>
      </c>
      <c r="F73" s="20">
        <v>0.19434000000000001</v>
      </c>
      <c r="G73" s="20">
        <v>0.101102</v>
      </c>
    </row>
    <row r="74" spans="1:7" x14ac:dyDescent="0.2">
      <c r="A74" s="5" t="s">
        <v>447</v>
      </c>
      <c r="B74" s="20">
        <v>-0.422682</v>
      </c>
      <c r="C74" s="20">
        <v>-0.27420800000000001</v>
      </c>
      <c r="D74" s="20">
        <v>1.8372889999999999</v>
      </c>
      <c r="E74" s="20">
        <v>-0.55142599999999997</v>
      </c>
      <c r="F74" s="20">
        <v>1.784335</v>
      </c>
      <c r="G74" s="20">
        <v>-5.7072999999999999E-2</v>
      </c>
    </row>
    <row r="75" spans="1:7" x14ac:dyDescent="0.2">
      <c r="A75" s="5"/>
      <c r="B75" s="5"/>
      <c r="C75" s="5"/>
      <c r="D75" s="5"/>
      <c r="E75" s="5"/>
      <c r="F75" s="5"/>
      <c r="G75" s="5"/>
    </row>
    <row r="76" spans="1:7" x14ac:dyDescent="0.2">
      <c r="A76" s="5" t="s">
        <v>448</v>
      </c>
      <c r="B76" s="20">
        <v>-9.9354999999999999E-2</v>
      </c>
      <c r="C76" s="20">
        <v>-9.5272999999999997E-2</v>
      </c>
      <c r="D76" s="20">
        <v>0</v>
      </c>
      <c r="E76" s="20">
        <v>-2.2169999999999999E-2</v>
      </c>
      <c r="F76" s="20">
        <v>9.2307E-2</v>
      </c>
      <c r="G76" s="20">
        <v>-0.10304000000000001</v>
      </c>
    </row>
    <row r="77" spans="1:7" x14ac:dyDescent="0.2">
      <c r="A77" s="5" t="s">
        <v>449</v>
      </c>
      <c r="B77" s="20">
        <v>-7.0309999999999997E-2</v>
      </c>
      <c r="C77" s="20">
        <v>-0.14960999999999999</v>
      </c>
      <c r="D77" s="20">
        <v>0.130497</v>
      </c>
      <c r="E77" s="20">
        <v>7.3108000000000006E-2</v>
      </c>
      <c r="F77" s="20">
        <v>4.9799999999999997E-2</v>
      </c>
      <c r="G77" s="20">
        <v>5.0473999999999998E-2</v>
      </c>
    </row>
    <row r="78" spans="1:7" x14ac:dyDescent="0.2">
      <c r="A78" s="5" t="s">
        <v>450</v>
      </c>
      <c r="B78" s="20">
        <v>-5.7245999999999998E-2</v>
      </c>
      <c r="C78" s="20">
        <v>-9.7101000000000007E-2</v>
      </c>
      <c r="D78" s="20">
        <v>-5.0260000000000001E-3</v>
      </c>
      <c r="E78" s="20">
        <v>-1.8315000000000001E-2</v>
      </c>
      <c r="F78" s="20">
        <v>1.5524E-2</v>
      </c>
      <c r="G78" s="20">
        <v>5.8149999999999999E-3</v>
      </c>
    </row>
    <row r="79" spans="1:7" x14ac:dyDescent="0.2">
      <c r="A79" s="5" t="s">
        <v>451</v>
      </c>
      <c r="B79" s="20">
        <v>-6.5924999999999997E-2</v>
      </c>
      <c r="C79" s="20">
        <v>-0.14365900000000001</v>
      </c>
      <c r="D79" s="20">
        <v>8.4350999999999995E-2</v>
      </c>
      <c r="E79" s="20">
        <v>-7.0577000000000001E-2</v>
      </c>
      <c r="F79" s="20">
        <v>2.5529E-2</v>
      </c>
      <c r="G79" s="20">
        <v>-0.17324000000000001</v>
      </c>
    </row>
    <row r="80" spans="1:7" x14ac:dyDescent="0.2">
      <c r="A80" s="5"/>
      <c r="B80" s="5"/>
      <c r="C80" s="5"/>
      <c r="D80" s="5"/>
      <c r="E80" s="5"/>
      <c r="F80" s="5"/>
      <c r="G80" s="5"/>
    </row>
    <row r="81" spans="1:7" x14ac:dyDescent="0.2">
      <c r="A81" s="5" t="s">
        <v>452</v>
      </c>
      <c r="B81" s="20">
        <v>5.6868000000000002E-2</v>
      </c>
      <c r="C81" s="20">
        <v>-0.120643</v>
      </c>
      <c r="D81" s="20">
        <v>0.54099299999999995</v>
      </c>
      <c r="E81" s="20">
        <v>-0.33388400000000001</v>
      </c>
      <c r="F81" s="20">
        <v>-3.7312999999999999E-2</v>
      </c>
      <c r="G81" s="20">
        <v>-3.9370000000000004E-3</v>
      </c>
    </row>
    <row r="82" spans="1:7" x14ac:dyDescent="0.2">
      <c r="A82" s="5" t="s">
        <v>453</v>
      </c>
      <c r="B82" s="20">
        <v>-4.8310000000000002E-3</v>
      </c>
      <c r="C82" s="20">
        <v>-9.8126000000000005E-2</v>
      </c>
      <c r="D82" s="20">
        <v>0.29667900000000003</v>
      </c>
      <c r="E82" s="20">
        <v>-0.21864700000000001</v>
      </c>
      <c r="F82" s="20">
        <v>-4.6176000000000002E-2</v>
      </c>
      <c r="G82" s="20">
        <v>-4.2900000000000002E-4</v>
      </c>
    </row>
    <row r="83" spans="1:7" x14ac:dyDescent="0.2">
      <c r="A83" s="5" t="s">
        <v>292</v>
      </c>
      <c r="B83" s="20">
        <v>-0.98119199999999995</v>
      </c>
      <c r="C83" s="20">
        <v>11.541665999999999</v>
      </c>
      <c r="D83" s="20">
        <v>5.240863</v>
      </c>
      <c r="E83" s="20">
        <v>-9.3159999999999996E-3</v>
      </c>
      <c r="F83" s="20">
        <v>3.1433999999999997E-2</v>
      </c>
      <c r="G83" s="20">
        <v>-0.23886499999999999</v>
      </c>
    </row>
    <row r="84" spans="1:7" x14ac:dyDescent="0.2">
      <c r="A84" s="5" t="s">
        <v>454</v>
      </c>
      <c r="B84" s="20">
        <v>-8.9010000000000006E-2</v>
      </c>
      <c r="C84" s="20">
        <v>0.16749700000000001</v>
      </c>
      <c r="D84" s="20">
        <v>-0.189582</v>
      </c>
      <c r="E84" s="20">
        <v>2.3182000000000001E-2</v>
      </c>
      <c r="F84" s="20">
        <v>0.14109099999999999</v>
      </c>
      <c r="G84" s="20">
        <v>0.12545100000000001</v>
      </c>
    </row>
    <row r="85" spans="1:7" x14ac:dyDescent="0.2">
      <c r="A85" s="5" t="s">
        <v>455</v>
      </c>
      <c r="B85" s="20">
        <v>-0.75636700000000001</v>
      </c>
      <c r="C85" s="20">
        <v>0.60126400000000002</v>
      </c>
      <c r="D85" s="20">
        <v>1.287512</v>
      </c>
      <c r="E85" s="20">
        <v>-0.30920300000000001</v>
      </c>
      <c r="F85" s="20">
        <v>-0.44807200000000003</v>
      </c>
      <c r="G85" s="20">
        <v>1.778438</v>
      </c>
    </row>
    <row r="86" spans="1:7" x14ac:dyDescent="0.2">
      <c r="A86" s="5" t="s">
        <v>456</v>
      </c>
      <c r="B86" s="20">
        <v>-0.65327100000000005</v>
      </c>
      <c r="C86" s="20">
        <v>0.33883000000000002</v>
      </c>
      <c r="D86" s="20">
        <v>0.87768100000000004</v>
      </c>
      <c r="E86" s="20">
        <v>-0.249886</v>
      </c>
      <c r="F86" s="20">
        <v>-0.32095899999999999</v>
      </c>
      <c r="G86" s="20">
        <v>1.115013</v>
      </c>
    </row>
    <row r="87" spans="1:7" x14ac:dyDescent="0.2">
      <c r="A87" s="5" t="s">
        <v>457</v>
      </c>
      <c r="B87" s="20">
        <v>0.58549899999999999</v>
      </c>
      <c r="C87" s="20">
        <v>0</v>
      </c>
      <c r="D87" s="20">
        <v>-5.9534999999999998E-2</v>
      </c>
      <c r="E87" s="20">
        <v>0</v>
      </c>
      <c r="F87" s="20">
        <v>0.11009099999999999</v>
      </c>
      <c r="G87" s="20">
        <v>0.13223099999999999</v>
      </c>
    </row>
    <row r="88" spans="1:7" x14ac:dyDescent="0.2">
      <c r="A88" s="5"/>
      <c r="B88" s="5"/>
      <c r="C88" s="5"/>
      <c r="D88" s="5"/>
      <c r="E88" s="5"/>
      <c r="F88" s="5"/>
      <c r="G88" s="5"/>
    </row>
    <row r="89" spans="1:7" x14ac:dyDescent="0.2">
      <c r="A89" s="14" t="s">
        <v>458</v>
      </c>
      <c r="B89" s="5"/>
      <c r="C89" s="5"/>
      <c r="D89" s="5"/>
      <c r="E89" s="5"/>
      <c r="F89" s="5"/>
      <c r="G89" s="5"/>
    </row>
    <row r="90" spans="1:7" x14ac:dyDescent="0.2">
      <c r="A90" s="5" t="s">
        <v>96</v>
      </c>
      <c r="B90" s="20">
        <v>5.1869999999999998E-3</v>
      </c>
      <c r="C90" s="20">
        <v>-4.8294999999999998E-2</v>
      </c>
      <c r="D90" s="20">
        <v>2.7618E-2</v>
      </c>
      <c r="E90" s="20">
        <v>6.2280000000000002E-2</v>
      </c>
      <c r="F90" s="20">
        <v>5.4301000000000002E-2</v>
      </c>
      <c r="G90" s="20">
        <v>3.4567000000000001E-2</v>
      </c>
    </row>
    <row r="91" spans="1:7" x14ac:dyDescent="0.2">
      <c r="A91" s="5" t="s">
        <v>101</v>
      </c>
      <c r="B91" s="20">
        <v>0.187804</v>
      </c>
      <c r="C91" s="20">
        <v>-4.8181000000000002E-2</v>
      </c>
      <c r="D91" s="20">
        <v>5.0310000000000001E-2</v>
      </c>
      <c r="E91" s="20">
        <v>8.6081000000000005E-2</v>
      </c>
      <c r="F91" s="20">
        <v>7.0479E-2</v>
      </c>
      <c r="G91" s="20">
        <v>0.122392</v>
      </c>
    </row>
    <row r="92" spans="1:7" x14ac:dyDescent="0.2">
      <c r="A92" s="5" t="s">
        <v>443</v>
      </c>
      <c r="B92" s="20">
        <v>0.191382</v>
      </c>
      <c r="C92" s="20">
        <v>-0.142093</v>
      </c>
      <c r="D92" s="20">
        <v>-2.98E-3</v>
      </c>
      <c r="E92" s="20">
        <v>0.15833700000000001</v>
      </c>
      <c r="F92" s="20">
        <v>1.6521000000000001E-2</v>
      </c>
      <c r="G92" s="20">
        <v>6.5304000000000001E-2</v>
      </c>
    </row>
    <row r="93" spans="1:7" x14ac:dyDescent="0.2">
      <c r="A93" s="5" t="s">
        <v>444</v>
      </c>
      <c r="B93" s="20">
        <v>0.346474</v>
      </c>
      <c r="C93" s="20">
        <v>-0.15684200000000001</v>
      </c>
      <c r="D93" s="20">
        <v>-6.3839999999999999E-3</v>
      </c>
      <c r="E93" s="20">
        <v>0.233126</v>
      </c>
      <c r="F93" s="20">
        <v>2.1146000000000002E-2</v>
      </c>
      <c r="G93" s="20">
        <v>7.528E-2</v>
      </c>
    </row>
    <row r="94" spans="1:7" x14ac:dyDescent="0.2">
      <c r="A94" s="5" t="s">
        <v>445</v>
      </c>
      <c r="B94" s="20">
        <v>0.26717999999999997</v>
      </c>
      <c r="C94" s="20">
        <v>-0.161416</v>
      </c>
      <c r="D94" s="20">
        <v>4.5227000000000003E-2</v>
      </c>
      <c r="E94" s="20">
        <v>0.20438000000000001</v>
      </c>
      <c r="F94" s="20">
        <v>-8.9250000000000006E-3</v>
      </c>
      <c r="G94" s="20">
        <v>7.5026999999999996E-2</v>
      </c>
    </row>
    <row r="95" spans="1:7" x14ac:dyDescent="0.2">
      <c r="A95" s="5" t="s">
        <v>126</v>
      </c>
      <c r="B95" s="20">
        <v>-0.13834199999999999</v>
      </c>
      <c r="C95" s="20">
        <v>-0.35277700000000001</v>
      </c>
      <c r="D95" s="20">
        <v>0.43655300000000002</v>
      </c>
      <c r="E95" s="20">
        <v>0.112134</v>
      </c>
      <c r="F95" s="20">
        <v>7.6216000000000006E-2</v>
      </c>
      <c r="G95" s="20">
        <v>0.56130999999999998</v>
      </c>
    </row>
    <row r="96" spans="1:7" x14ac:dyDescent="0.2">
      <c r="A96" s="5" t="s">
        <v>131</v>
      </c>
      <c r="B96" s="20">
        <v>-0.103447</v>
      </c>
      <c r="C96" s="20">
        <v>1.1635200000000001</v>
      </c>
      <c r="D96" s="20">
        <v>0.23500199999999999</v>
      </c>
      <c r="E96" s="20">
        <v>-0.648173</v>
      </c>
      <c r="F96" s="20">
        <v>-0.104366</v>
      </c>
      <c r="G96" s="20">
        <v>0.485342</v>
      </c>
    </row>
    <row r="97" spans="1:7" x14ac:dyDescent="0.2">
      <c r="A97" s="5" t="s">
        <v>446</v>
      </c>
      <c r="B97" s="20">
        <v>0.144097</v>
      </c>
      <c r="C97" s="20">
        <v>-0.21077000000000001</v>
      </c>
      <c r="D97" s="20">
        <v>0.16747400000000001</v>
      </c>
      <c r="E97" s="20">
        <v>0.34001599999999998</v>
      </c>
      <c r="F97" s="20">
        <v>-1.2184E-2</v>
      </c>
      <c r="G97" s="20">
        <v>0.14677399999999999</v>
      </c>
    </row>
    <row r="98" spans="1:7" x14ac:dyDescent="0.2">
      <c r="A98" s="5" t="s">
        <v>447</v>
      </c>
      <c r="B98" s="20">
        <v>-0.211503</v>
      </c>
      <c r="C98" s="20">
        <v>-0.352688</v>
      </c>
      <c r="D98" s="20">
        <v>0.43502000000000002</v>
      </c>
      <c r="E98" s="20">
        <v>0.12815599999999999</v>
      </c>
      <c r="F98" s="20">
        <v>0.117578</v>
      </c>
      <c r="G98" s="20">
        <v>0.62031599999999998</v>
      </c>
    </row>
    <row r="99" spans="1:7" x14ac:dyDescent="0.2">
      <c r="A99" s="5"/>
      <c r="B99" s="5"/>
      <c r="C99" s="5"/>
      <c r="D99" s="5"/>
      <c r="E99" s="5"/>
      <c r="F99" s="5"/>
      <c r="G99" s="5"/>
    </row>
    <row r="100" spans="1:7" x14ac:dyDescent="0.2">
      <c r="A100" s="5" t="s">
        <v>448</v>
      </c>
      <c r="B100" s="20">
        <v>-3.6573000000000001E-2</v>
      </c>
      <c r="C100" s="20">
        <v>-9.7316E-2</v>
      </c>
      <c r="D100" s="20">
        <v>-4.8828999999999997E-2</v>
      </c>
      <c r="E100" s="20">
        <v>-1.1147000000000001E-2</v>
      </c>
      <c r="F100" s="20">
        <v>3.3485000000000001E-2</v>
      </c>
      <c r="G100" s="20">
        <v>-1.0173E-2</v>
      </c>
    </row>
    <row r="101" spans="1:7" x14ac:dyDescent="0.2">
      <c r="A101" s="5" t="s">
        <v>449</v>
      </c>
      <c r="B101" s="20">
        <v>3.6651000000000003E-2</v>
      </c>
      <c r="C101" s="20">
        <v>-0.110844</v>
      </c>
      <c r="D101" s="20">
        <v>-1.9508000000000001E-2</v>
      </c>
      <c r="E101" s="20">
        <v>0.10142900000000001</v>
      </c>
      <c r="F101" s="20">
        <v>6.139E-2</v>
      </c>
      <c r="G101" s="20">
        <v>5.0137000000000001E-2</v>
      </c>
    </row>
    <row r="102" spans="1:7" x14ac:dyDescent="0.2">
      <c r="A102" s="5" t="s">
        <v>450</v>
      </c>
      <c r="B102" s="20">
        <v>0.16980600000000001</v>
      </c>
      <c r="C102" s="20">
        <v>-7.7387999999999998E-2</v>
      </c>
      <c r="D102" s="20">
        <v>-5.2179999999999997E-2</v>
      </c>
      <c r="E102" s="20">
        <v>-1.1691999999999999E-2</v>
      </c>
      <c r="F102" s="20">
        <v>-1.539E-3</v>
      </c>
      <c r="G102" s="20">
        <v>1.0658000000000001E-2</v>
      </c>
    </row>
    <row r="103" spans="1:7" x14ac:dyDescent="0.2">
      <c r="A103" s="5" t="s">
        <v>451</v>
      </c>
      <c r="B103" s="20">
        <v>8.8162000000000004E-2</v>
      </c>
      <c r="C103" s="20">
        <v>-0.10563599999999999</v>
      </c>
      <c r="D103" s="20">
        <v>-3.6373999999999997E-2</v>
      </c>
      <c r="E103" s="20">
        <v>3.9029999999999998E-3</v>
      </c>
      <c r="F103" s="20">
        <v>-2.3705E-2</v>
      </c>
      <c r="G103" s="20">
        <v>-7.9202999999999996E-2</v>
      </c>
    </row>
    <row r="104" spans="1:7" x14ac:dyDescent="0.2">
      <c r="A104" s="5"/>
      <c r="B104" s="5"/>
      <c r="C104" s="5"/>
      <c r="D104" s="5"/>
      <c r="E104" s="5"/>
      <c r="F104" s="5"/>
      <c r="G104" s="5"/>
    </row>
    <row r="105" spans="1:7" x14ac:dyDescent="0.2">
      <c r="A105" s="5" t="s">
        <v>452</v>
      </c>
      <c r="B105" s="20">
        <v>-1.5422999999999999E-2</v>
      </c>
      <c r="C105" s="20">
        <v>-3.5964000000000003E-2</v>
      </c>
      <c r="D105" s="20">
        <v>0.164081</v>
      </c>
      <c r="E105" s="20">
        <v>1.3154000000000001E-2</v>
      </c>
      <c r="F105" s="20">
        <v>-0.199212</v>
      </c>
      <c r="G105" s="20">
        <v>-2.0767000000000001E-2</v>
      </c>
    </row>
    <row r="106" spans="1:7" x14ac:dyDescent="0.2">
      <c r="A106" s="5" t="s">
        <v>453</v>
      </c>
      <c r="B106" s="20">
        <v>0.12919900000000001</v>
      </c>
      <c r="C106" s="20">
        <v>-5.2625999999999999E-2</v>
      </c>
      <c r="D106" s="20">
        <v>8.1406999999999993E-2</v>
      </c>
      <c r="E106" s="20">
        <v>6.561E-3</v>
      </c>
      <c r="F106" s="20">
        <v>-0.136707</v>
      </c>
      <c r="G106" s="20">
        <v>-2.3570000000000001E-2</v>
      </c>
    </row>
    <row r="107" spans="1:7" x14ac:dyDescent="0.2">
      <c r="A107" s="5" t="s">
        <v>292</v>
      </c>
      <c r="B107" s="20">
        <v>-0.86918700000000004</v>
      </c>
      <c r="C107" s="20">
        <v>-0.51431199999999999</v>
      </c>
      <c r="D107" s="20">
        <v>7.8470800000000001</v>
      </c>
      <c r="E107" s="20">
        <v>1.4865079999999999</v>
      </c>
      <c r="F107" s="20">
        <v>1.0854000000000001E-2</v>
      </c>
      <c r="G107" s="20">
        <v>-0.11396299999999999</v>
      </c>
    </row>
    <row r="108" spans="1:7" x14ac:dyDescent="0.2">
      <c r="A108" s="5" t="s">
        <v>454</v>
      </c>
      <c r="B108" s="20">
        <v>-0.16541800000000001</v>
      </c>
      <c r="C108" s="20">
        <v>3.1299E-2</v>
      </c>
      <c r="D108" s="20">
        <v>-2.7292E-2</v>
      </c>
      <c r="E108" s="20">
        <v>-8.9393E-2</v>
      </c>
      <c r="F108" s="20">
        <v>8.0529000000000003E-2</v>
      </c>
      <c r="G108" s="20">
        <v>0.133244</v>
      </c>
    </row>
    <row r="109" spans="1:7" x14ac:dyDescent="0.2">
      <c r="A109" s="5" t="s">
        <v>455</v>
      </c>
      <c r="B109" s="20">
        <v>-0.21149299999999999</v>
      </c>
      <c r="C109" s="20">
        <v>-0.37540299999999999</v>
      </c>
      <c r="D109" s="20">
        <v>0.91387399999999996</v>
      </c>
      <c r="E109" s="20">
        <v>0.25706299999999999</v>
      </c>
      <c r="F109" s="20">
        <v>-0.38252900000000001</v>
      </c>
      <c r="G109" s="20">
        <v>0.238345</v>
      </c>
    </row>
    <row r="110" spans="1:7" x14ac:dyDescent="0.2">
      <c r="A110" s="5" t="s">
        <v>456</v>
      </c>
      <c r="B110" s="20">
        <v>-7.5269000000000003E-2</v>
      </c>
      <c r="C110" s="20">
        <v>-0.31867000000000001</v>
      </c>
      <c r="D110" s="20">
        <v>0.58552700000000002</v>
      </c>
      <c r="E110" s="20">
        <v>0.18679200000000001</v>
      </c>
      <c r="F110" s="20">
        <v>-0.28630699999999998</v>
      </c>
      <c r="G110" s="20">
        <v>0.198408</v>
      </c>
    </row>
    <row r="111" spans="1:7" x14ac:dyDescent="0.2">
      <c r="A111" s="5" t="s">
        <v>457</v>
      </c>
      <c r="B111" s="20">
        <v>0.74642500000000001</v>
      </c>
      <c r="C111" s="20">
        <v>0.25916600000000001</v>
      </c>
      <c r="D111" s="20">
        <v>-3.0224000000000001E-2</v>
      </c>
      <c r="E111" s="20">
        <v>-3.0224000000000001E-2</v>
      </c>
      <c r="F111" s="20">
        <v>5.3608999999999997E-2</v>
      </c>
      <c r="G111" s="20">
        <v>0.12110700000000001</v>
      </c>
    </row>
    <row r="112" spans="1:7" x14ac:dyDescent="0.2">
      <c r="A112" s="5"/>
      <c r="B112" s="5"/>
      <c r="C112" s="5"/>
      <c r="D112" s="5"/>
      <c r="E112" s="5"/>
      <c r="F112" s="5"/>
      <c r="G112" s="5"/>
    </row>
    <row r="113" spans="1:7" x14ac:dyDescent="0.2">
      <c r="A113" s="14" t="s">
        <v>459</v>
      </c>
      <c r="B113" s="5"/>
      <c r="C113" s="5"/>
      <c r="D113" s="5"/>
      <c r="E113" s="5"/>
      <c r="F113" s="5"/>
      <c r="G113" s="5"/>
    </row>
    <row r="114" spans="1:7" x14ac:dyDescent="0.2">
      <c r="A114" s="5" t="s">
        <v>96</v>
      </c>
      <c r="B114" s="20">
        <v>1.2795000000000001E-2</v>
      </c>
      <c r="C114" s="20">
        <v>2.2790000000000002E-3</v>
      </c>
      <c r="D114" s="20">
        <v>-1.3572000000000001E-2</v>
      </c>
      <c r="E114" s="20">
        <v>3.9881E-2</v>
      </c>
      <c r="F114" s="20">
        <v>5.6104000000000001E-2</v>
      </c>
      <c r="G114" s="20">
        <v>4.4562999999999998E-2</v>
      </c>
    </row>
    <row r="115" spans="1:7" x14ac:dyDescent="0.2">
      <c r="A115" s="5" t="s">
        <v>101</v>
      </c>
      <c r="B115" s="20">
        <v>0.17557800000000001</v>
      </c>
      <c r="C115" s="20">
        <v>9.8108000000000001E-2</v>
      </c>
      <c r="D115" s="20">
        <v>2.1173000000000001E-2</v>
      </c>
      <c r="E115" s="20">
        <v>3.4484000000000001E-2</v>
      </c>
      <c r="F115" s="20">
        <v>0.10437200000000001</v>
      </c>
      <c r="G115" s="20">
        <v>8.1287999999999999E-2</v>
      </c>
    </row>
    <row r="116" spans="1:7" x14ac:dyDescent="0.2">
      <c r="A116" s="5" t="s">
        <v>443</v>
      </c>
      <c r="B116" s="20">
        <v>0.160804</v>
      </c>
      <c r="C116" s="20">
        <v>6.2040000000000003E-3</v>
      </c>
      <c r="D116" s="20">
        <v>6.4149999999999997E-3</v>
      </c>
      <c r="E116" s="20">
        <v>-1.2488000000000001E-2</v>
      </c>
      <c r="F116" s="20">
        <v>0.12692400000000001</v>
      </c>
      <c r="G116" s="20">
        <v>3.2100999999999998E-2</v>
      </c>
    </row>
    <row r="117" spans="1:7" x14ac:dyDescent="0.2">
      <c r="A117" s="5" t="s">
        <v>444</v>
      </c>
      <c r="B117" s="20">
        <v>0.282055</v>
      </c>
      <c r="C117" s="20">
        <v>4.3049999999999998E-2</v>
      </c>
      <c r="D117" s="20">
        <v>3.8912000000000002E-2</v>
      </c>
      <c r="E117" s="20">
        <v>-1.6341000000000001E-2</v>
      </c>
      <c r="F117" s="20">
        <v>0.18040600000000001</v>
      </c>
      <c r="G117" s="20">
        <v>3.6844000000000002E-2</v>
      </c>
    </row>
    <row r="118" spans="1:7" x14ac:dyDescent="0.2">
      <c r="A118" s="5" t="s">
        <v>445</v>
      </c>
      <c r="B118" s="20">
        <v>0.30834</v>
      </c>
      <c r="C118" s="20">
        <v>3.0249000000000002E-2</v>
      </c>
      <c r="D118" s="20">
        <v>4.1009999999999998E-2</v>
      </c>
      <c r="E118" s="20">
        <v>-4.0769999999999999E-3</v>
      </c>
      <c r="F118" s="20">
        <v>0.16366600000000001</v>
      </c>
      <c r="G118" s="20">
        <v>1.4763E-2</v>
      </c>
    </row>
    <row r="119" spans="1:7" x14ac:dyDescent="0.2">
      <c r="A119" s="5" t="s">
        <v>126</v>
      </c>
      <c r="B119" s="20">
        <v>1.334584</v>
      </c>
      <c r="C119" s="20">
        <v>-0.18808900000000001</v>
      </c>
      <c r="D119" s="20">
        <v>6.2426000000000002E-2</v>
      </c>
      <c r="E119" s="20">
        <v>-3.7524000000000002E-2</v>
      </c>
      <c r="F119" s="20">
        <v>0.491176</v>
      </c>
      <c r="G119" s="20">
        <v>1.7423000000000001E-2</v>
      </c>
    </row>
    <row r="120" spans="1:7" ht="17" x14ac:dyDescent="0.2">
      <c r="A120" s="5" t="s">
        <v>131</v>
      </c>
      <c r="B120" s="20" t="s">
        <v>35</v>
      </c>
      <c r="C120" s="20">
        <v>0.70182100000000003</v>
      </c>
      <c r="D120" s="20">
        <v>5.2017000000000001E-2</v>
      </c>
      <c r="E120" s="20">
        <v>-8.7815000000000004E-2</v>
      </c>
      <c r="F120" s="20">
        <v>-0.41565600000000003</v>
      </c>
      <c r="G120" s="20">
        <v>3.1625E-2</v>
      </c>
    </row>
    <row r="121" spans="1:7" x14ac:dyDescent="0.2">
      <c r="A121" s="5" t="s">
        <v>446</v>
      </c>
      <c r="B121" s="20">
        <v>0.36695499999999998</v>
      </c>
      <c r="C121" s="20">
        <v>-6.7157999999999995E-2</v>
      </c>
      <c r="D121" s="20">
        <v>0.11037</v>
      </c>
      <c r="E121" s="20">
        <v>3.6509E-2</v>
      </c>
      <c r="F121" s="20">
        <v>0.28958400000000001</v>
      </c>
      <c r="G121" s="20">
        <v>2.4219999999999998E-2</v>
      </c>
    </row>
    <row r="122" spans="1:7" x14ac:dyDescent="0.2">
      <c r="A122" s="5" t="s">
        <v>447</v>
      </c>
      <c r="B122" s="20">
        <v>1.044011</v>
      </c>
      <c r="C122" s="20">
        <v>-0.232985</v>
      </c>
      <c r="D122" s="20">
        <v>5.9360000000000003E-2</v>
      </c>
      <c r="E122" s="20">
        <v>-2.6095E-2</v>
      </c>
      <c r="F122" s="20">
        <v>0.52459100000000003</v>
      </c>
      <c r="G122" s="20">
        <v>5.6034E-2</v>
      </c>
    </row>
    <row r="123" spans="1:7" x14ac:dyDescent="0.2">
      <c r="A123" s="5"/>
      <c r="B123" s="5"/>
      <c r="C123" s="5"/>
      <c r="D123" s="5"/>
      <c r="E123" s="5"/>
      <c r="F123" s="5"/>
      <c r="G123" s="5"/>
    </row>
    <row r="124" spans="1:7" x14ac:dyDescent="0.2">
      <c r="A124" s="5" t="s">
        <v>448</v>
      </c>
      <c r="B124" s="20">
        <v>-1.8182E-2</v>
      </c>
      <c r="C124" s="20">
        <v>-5.6550999999999997E-2</v>
      </c>
      <c r="D124" s="20">
        <v>-6.5977999999999995E-2</v>
      </c>
      <c r="E124" s="20">
        <v>-4.0023999999999997E-2</v>
      </c>
      <c r="F124" s="20">
        <v>2.2200000000000001E-2</v>
      </c>
      <c r="G124" s="20">
        <v>-1.4187999999999999E-2</v>
      </c>
    </row>
    <row r="125" spans="1:7" x14ac:dyDescent="0.2">
      <c r="A125" s="5" t="s">
        <v>449</v>
      </c>
      <c r="B125" s="20">
        <v>1.8768E-2</v>
      </c>
      <c r="C125" s="20">
        <v>-2.9576000000000002E-2</v>
      </c>
      <c r="D125" s="20">
        <v>-3.6742999999999998E-2</v>
      </c>
      <c r="E125" s="20">
        <v>1.044E-2</v>
      </c>
      <c r="F125" s="20">
        <v>8.3944000000000005E-2</v>
      </c>
      <c r="G125" s="20">
        <v>5.7738999999999999E-2</v>
      </c>
    </row>
    <row r="126" spans="1:7" x14ac:dyDescent="0.2">
      <c r="A126" s="5" t="s">
        <v>450</v>
      </c>
      <c r="B126" s="20">
        <v>0.118598</v>
      </c>
      <c r="C126" s="20">
        <v>7.3055999999999996E-2</v>
      </c>
      <c r="D126" s="20">
        <v>-5.3872000000000003E-2</v>
      </c>
      <c r="E126" s="20">
        <v>-4.1023999999999998E-2</v>
      </c>
      <c r="F126" s="20">
        <v>-2.702E-3</v>
      </c>
      <c r="G126" s="20">
        <v>9.0700000000000004E-4</v>
      </c>
    </row>
    <row r="127" spans="1:7" x14ac:dyDescent="0.2">
      <c r="A127" s="5" t="s">
        <v>451</v>
      </c>
      <c r="B127" s="20">
        <v>5.0437999999999997E-2</v>
      </c>
      <c r="C127" s="20">
        <v>4.6420000000000003E-3</v>
      </c>
      <c r="D127" s="20">
        <v>-4.6327E-2</v>
      </c>
      <c r="E127" s="20">
        <v>-4.7912000000000003E-2</v>
      </c>
      <c r="F127" s="20">
        <v>1.1061E-2</v>
      </c>
      <c r="G127" s="20">
        <v>-7.6336000000000001E-2</v>
      </c>
    </row>
    <row r="128" spans="1:7" x14ac:dyDescent="0.2">
      <c r="A128" s="5"/>
      <c r="B128" s="5"/>
      <c r="C128" s="5"/>
      <c r="D128" s="5"/>
      <c r="E128" s="5"/>
      <c r="F128" s="5"/>
      <c r="G128" s="5"/>
    </row>
    <row r="129" spans="1:7" x14ac:dyDescent="0.2">
      <c r="A129" s="5" t="s">
        <v>452</v>
      </c>
      <c r="B129" s="20">
        <v>0.26883099999999999</v>
      </c>
      <c r="C129" s="20">
        <v>-5.1825000000000003E-2</v>
      </c>
      <c r="D129" s="20">
        <v>0.12718599999999999</v>
      </c>
      <c r="E129" s="20">
        <v>-3.3565999999999999E-2</v>
      </c>
      <c r="F129" s="20">
        <v>-3.9560000000000003E-3</v>
      </c>
      <c r="G129" s="20">
        <v>-0.138793</v>
      </c>
    </row>
    <row r="130" spans="1:7" x14ac:dyDescent="0.2">
      <c r="A130" s="5" t="s">
        <v>453</v>
      </c>
      <c r="B130" s="20">
        <v>0.27649899999999999</v>
      </c>
      <c r="C130" s="20">
        <v>4.7681000000000001E-2</v>
      </c>
      <c r="D130" s="20">
        <v>5.1861999999999998E-2</v>
      </c>
      <c r="E130" s="20">
        <v>-2.9618999999999999E-2</v>
      </c>
      <c r="F130" s="20">
        <v>-1.1334E-2</v>
      </c>
      <c r="G130" s="20">
        <v>-9.3480999999999995E-2</v>
      </c>
    </row>
    <row r="131" spans="1:7" x14ac:dyDescent="0.2">
      <c r="A131" s="5" t="s">
        <v>292</v>
      </c>
      <c r="B131" s="20">
        <v>-0.71102200000000004</v>
      </c>
      <c r="C131" s="20">
        <v>-0.40128399999999997</v>
      </c>
      <c r="D131" s="20">
        <v>0.13759299999999999</v>
      </c>
      <c r="E131" s="20">
        <v>3.2642730000000002</v>
      </c>
      <c r="F131" s="20">
        <v>0.85441599999999995</v>
      </c>
      <c r="G131" s="20">
        <v>-8.0369999999999997E-2</v>
      </c>
    </row>
    <row r="132" spans="1:7" x14ac:dyDescent="0.2">
      <c r="A132" s="5" t="s">
        <v>454</v>
      </c>
      <c r="B132" s="20">
        <v>-5.9329E-2</v>
      </c>
      <c r="C132" s="20">
        <v>-6.6607E-2</v>
      </c>
      <c r="D132" s="20">
        <v>-4.8315999999999998E-2</v>
      </c>
      <c r="E132" s="20">
        <v>-1.0749999999999999E-2</v>
      </c>
      <c r="F132" s="20">
        <v>-1.8265E-2</v>
      </c>
      <c r="G132" s="20">
        <v>9.5300999999999997E-2</v>
      </c>
    </row>
    <row r="133" spans="1:7" x14ac:dyDescent="0.2">
      <c r="A133" s="5" t="s">
        <v>455</v>
      </c>
      <c r="B133" s="20">
        <v>-0.26580599999999999</v>
      </c>
      <c r="C133" s="20">
        <v>-1.477E-3</v>
      </c>
      <c r="D133" s="20">
        <v>-3.7233000000000002E-2</v>
      </c>
      <c r="E133" s="20">
        <v>0.36267500000000003</v>
      </c>
      <c r="F133" s="20">
        <v>-4.4569999999999999E-2</v>
      </c>
      <c r="G133" s="20">
        <v>1.9400000000000001E-2</v>
      </c>
    </row>
    <row r="134" spans="1:7" x14ac:dyDescent="0.2">
      <c r="A134" s="5" t="s">
        <v>456</v>
      </c>
      <c r="B134" s="20">
        <v>-0.17340700000000001</v>
      </c>
      <c r="C134" s="20">
        <v>4.6129999999999997E-2</v>
      </c>
      <c r="D134" s="20">
        <v>-4.4760000000000001E-2</v>
      </c>
      <c r="E134" s="20">
        <v>0.23544899999999999</v>
      </c>
      <c r="F134" s="20">
        <v>-1.4744999999999999E-2</v>
      </c>
      <c r="G134" s="20">
        <v>2.513E-2</v>
      </c>
    </row>
    <row r="135" spans="1:7" ht="17" x14ac:dyDescent="0.2">
      <c r="A135" s="5" t="s">
        <v>457</v>
      </c>
      <c r="B135" s="23" t="s">
        <v>27</v>
      </c>
      <c r="C135" s="20">
        <v>0.45021800000000001</v>
      </c>
      <c r="D135" s="20">
        <v>0.14244799999999999</v>
      </c>
      <c r="E135" s="20">
        <v>-2.0251999999999999E-2</v>
      </c>
      <c r="F135" s="20">
        <v>1.4458E-2</v>
      </c>
      <c r="G135" s="20">
        <v>7.9189999999999997E-2</v>
      </c>
    </row>
    <row r="136" spans="1:7" x14ac:dyDescent="0.2">
      <c r="A136" s="5"/>
      <c r="B136" s="5"/>
      <c r="C136" s="5"/>
      <c r="D136" s="5"/>
      <c r="E136" s="5"/>
      <c r="F136" s="5"/>
      <c r="G136" s="5"/>
    </row>
    <row r="137" spans="1:7" x14ac:dyDescent="0.2">
      <c r="A137" s="14" t="s">
        <v>460</v>
      </c>
      <c r="B137" s="5"/>
      <c r="C137" s="5"/>
      <c r="D137" s="5"/>
      <c r="E137" s="5"/>
      <c r="F137" s="5"/>
      <c r="G137" s="5"/>
    </row>
    <row r="138" spans="1:7" x14ac:dyDescent="0.2">
      <c r="A138" s="5" t="s">
        <v>96</v>
      </c>
      <c r="B138" s="20">
        <v>4.0629999999999998E-3</v>
      </c>
      <c r="C138" s="20">
        <v>1.4251E-2</v>
      </c>
      <c r="D138" s="20">
        <v>1.8697999999999999E-2</v>
      </c>
      <c r="E138" s="20">
        <v>2.5862E-2</v>
      </c>
      <c r="F138" s="20">
        <v>1.3037E-2</v>
      </c>
      <c r="G138" s="20">
        <v>3.7752000000000001E-2</v>
      </c>
    </row>
    <row r="139" spans="1:7" x14ac:dyDescent="0.2">
      <c r="A139" s="5" t="s">
        <v>101</v>
      </c>
      <c r="B139" s="20">
        <v>0.13170599999999999</v>
      </c>
      <c r="C139" s="20">
        <v>0.106422</v>
      </c>
      <c r="D139" s="20">
        <v>0.12377100000000001</v>
      </c>
      <c r="E139" s="20">
        <v>9.3282000000000004E-2</v>
      </c>
      <c r="F139" s="20">
        <v>4.0617E-2</v>
      </c>
      <c r="G139" s="20">
        <v>6.8789000000000003E-2</v>
      </c>
    </row>
    <row r="140" spans="1:7" x14ac:dyDescent="0.2">
      <c r="A140" s="5" t="s">
        <v>443</v>
      </c>
      <c r="B140" s="20">
        <v>0.21083399999999999</v>
      </c>
      <c r="C140" s="20">
        <v>6.3710000000000003E-2</v>
      </c>
      <c r="D140" s="20">
        <v>9.2286999999999994E-2</v>
      </c>
      <c r="E140" s="20">
        <v>6.4500000000000002E-2</v>
      </c>
      <c r="F140" s="20">
        <v>1.0444999999999999E-2</v>
      </c>
      <c r="G140" s="20">
        <v>1.7923000000000001E-2</v>
      </c>
    </row>
    <row r="141" spans="1:7" x14ac:dyDescent="0.2">
      <c r="A141" s="5" t="s">
        <v>444</v>
      </c>
      <c r="B141" s="20">
        <v>0.52084399999999997</v>
      </c>
      <c r="C141" s="20">
        <v>0.121808</v>
      </c>
      <c r="D141" s="20">
        <v>0.15779499999999999</v>
      </c>
      <c r="E141" s="20">
        <v>0.115286</v>
      </c>
      <c r="F141" s="20">
        <v>3.1768999999999999E-2</v>
      </c>
      <c r="G141" s="20">
        <v>1.9331999999999998E-2</v>
      </c>
    </row>
    <row r="142" spans="1:7" x14ac:dyDescent="0.2">
      <c r="A142" s="5" t="s">
        <v>445</v>
      </c>
      <c r="B142" s="20">
        <v>0.85687500000000005</v>
      </c>
      <c r="C142" s="20">
        <v>0.17288400000000001</v>
      </c>
      <c r="D142" s="20">
        <v>0.19596</v>
      </c>
      <c r="E142" s="20">
        <v>9.6657000000000007E-2</v>
      </c>
      <c r="F142" s="20">
        <v>2.0740999999999999E-2</v>
      </c>
      <c r="G142" s="20">
        <v>2.6841E-2</v>
      </c>
    </row>
    <row r="143" spans="1:7" ht="17" x14ac:dyDescent="0.2">
      <c r="A143" s="5" t="s">
        <v>126</v>
      </c>
      <c r="B143" s="20" t="s">
        <v>35</v>
      </c>
      <c r="C143" s="20">
        <v>0.15753600000000001</v>
      </c>
      <c r="D143" s="20">
        <v>0.92244700000000002</v>
      </c>
      <c r="E143" s="20">
        <v>-7.9195000000000002E-2</v>
      </c>
      <c r="F143" s="20">
        <v>6.7920999999999995E-2</v>
      </c>
      <c r="G143" s="20">
        <v>0.167964</v>
      </c>
    </row>
    <row r="144" spans="1:7" ht="17" x14ac:dyDescent="0.2">
      <c r="A144" s="5" t="s">
        <v>131</v>
      </c>
      <c r="B144" s="20" t="s">
        <v>35</v>
      </c>
      <c r="C144" s="20">
        <v>1.123176</v>
      </c>
      <c r="D144" s="20" t="s">
        <v>35</v>
      </c>
      <c r="E144" s="20">
        <v>-9.4100000000000003E-2</v>
      </c>
      <c r="F144" s="20">
        <v>-1.3571E-2</v>
      </c>
      <c r="G144" s="20">
        <v>0.108614</v>
      </c>
    </row>
    <row r="145" spans="1:39" ht="17" x14ac:dyDescent="0.2">
      <c r="A145" s="5" t="s">
        <v>446</v>
      </c>
      <c r="B145" s="20" t="s">
        <v>35</v>
      </c>
      <c r="C145" s="20">
        <v>0.26072499999999998</v>
      </c>
      <c r="D145" s="20">
        <v>0.28336899999999998</v>
      </c>
      <c r="E145" s="20">
        <v>7.8272999999999995E-2</v>
      </c>
      <c r="F145" s="20">
        <v>5.9623000000000002E-2</v>
      </c>
      <c r="G145" s="20">
        <v>7.9282000000000005E-2</v>
      </c>
    </row>
    <row r="146" spans="1:39" ht="17" x14ac:dyDescent="0.2">
      <c r="A146" s="5" t="s">
        <v>447</v>
      </c>
      <c r="B146" s="20" t="s">
        <v>35</v>
      </c>
      <c r="C146" s="20">
        <v>0.10971</v>
      </c>
      <c r="D146" s="20">
        <v>0.77432500000000004</v>
      </c>
      <c r="E146" s="20">
        <v>-0.104986</v>
      </c>
      <c r="F146" s="20">
        <v>8.2275000000000001E-2</v>
      </c>
      <c r="G146" s="20">
        <v>0.193851</v>
      </c>
    </row>
    <row r="147" spans="1:39" x14ac:dyDescent="0.2">
      <c r="A147" s="5"/>
      <c r="B147" s="5"/>
      <c r="C147" s="5"/>
      <c r="D147" s="5"/>
      <c r="E147" s="5"/>
      <c r="F147" s="5"/>
      <c r="G147" s="5"/>
    </row>
    <row r="148" spans="1:39" x14ac:dyDescent="0.2">
      <c r="A148" s="5" t="s">
        <v>448</v>
      </c>
      <c r="B148" s="20">
        <v>0.116395</v>
      </c>
      <c r="C148" s="20">
        <v>-2.1222999999999999E-2</v>
      </c>
      <c r="D148" s="20">
        <v>-3.0557000000000001E-2</v>
      </c>
      <c r="E148" s="20">
        <v>-3.8644999999999999E-2</v>
      </c>
      <c r="F148" s="20">
        <v>-2.7396E-2</v>
      </c>
      <c r="G148" s="20">
        <v>-2.8192999999999999E-2</v>
      </c>
    </row>
    <row r="149" spans="1:39" x14ac:dyDescent="0.2">
      <c r="A149" s="5" t="s">
        <v>449</v>
      </c>
      <c r="B149" s="20">
        <v>-3.8259000000000001E-2</v>
      </c>
      <c r="C149" s="20">
        <v>-3.1653000000000001E-2</v>
      </c>
      <c r="D149" s="20">
        <v>3.2810000000000001E-3</v>
      </c>
      <c r="E149" s="20">
        <v>2.0844000000000001E-2</v>
      </c>
      <c r="F149" s="20">
        <v>1.372E-3</v>
      </c>
      <c r="G149" s="20">
        <v>2.6136E-2</v>
      </c>
    </row>
    <row r="150" spans="1:39" x14ac:dyDescent="0.2">
      <c r="A150" s="5" t="s">
        <v>450</v>
      </c>
      <c r="B150" s="20">
        <v>4.3956000000000002E-2</v>
      </c>
      <c r="C150" s="20">
        <v>5.0354000000000003E-2</v>
      </c>
      <c r="D150" s="20">
        <v>4.6875E-2</v>
      </c>
      <c r="E150" s="20">
        <v>3.8317999999999998E-2</v>
      </c>
      <c r="F150" s="20">
        <v>-3.3276E-2</v>
      </c>
      <c r="G150" s="20">
        <v>-2.0676E-2</v>
      </c>
    </row>
    <row r="151" spans="1:39" x14ac:dyDescent="0.2">
      <c r="A151" s="5" t="s">
        <v>451</v>
      </c>
      <c r="B151" s="20">
        <v>3.7490000000000002E-2</v>
      </c>
      <c r="C151" s="20">
        <v>7.2199999999999999E-3</v>
      </c>
      <c r="D151" s="20">
        <v>1.4812000000000001E-2</v>
      </c>
      <c r="E151" s="20">
        <v>4.3470000000000002E-3</v>
      </c>
      <c r="F151" s="20">
        <v>-3.7342E-2</v>
      </c>
      <c r="G151" s="20">
        <v>-6.0553999999999997E-2</v>
      </c>
    </row>
    <row r="152" spans="1:39" x14ac:dyDescent="0.2">
      <c r="A152" s="5"/>
      <c r="B152" s="5"/>
      <c r="C152" s="5"/>
      <c r="D152" s="5"/>
      <c r="E152" s="5"/>
      <c r="F152" s="5"/>
      <c r="G152" s="5"/>
    </row>
    <row r="153" spans="1:39" x14ac:dyDescent="0.2">
      <c r="A153" s="5" t="s">
        <v>452</v>
      </c>
      <c r="B153" s="20">
        <v>0.18160200000000001</v>
      </c>
      <c r="C153" s="20">
        <v>3.0488999999999999E-2</v>
      </c>
      <c r="D153" s="20">
        <v>0.22584499999999999</v>
      </c>
      <c r="E153" s="20">
        <v>-2.6349000000000001E-2</v>
      </c>
      <c r="F153" s="20">
        <v>-1.6884E-2</v>
      </c>
      <c r="G153" s="20">
        <v>-2.8466000000000002E-2</v>
      </c>
    </row>
    <row r="154" spans="1:39" x14ac:dyDescent="0.2">
      <c r="A154" s="5" t="s">
        <v>453</v>
      </c>
      <c r="B154" s="20">
        <v>0.13622999999999999</v>
      </c>
      <c r="C154" s="20">
        <v>6.9621000000000002E-2</v>
      </c>
      <c r="D154" s="20">
        <v>0.19456000000000001</v>
      </c>
      <c r="E154" s="20">
        <v>3.1035E-2</v>
      </c>
      <c r="F154" s="20">
        <v>-2.8062E-2</v>
      </c>
      <c r="G154" s="20">
        <v>-2.7203999999999999E-2</v>
      </c>
    </row>
    <row r="155" spans="1:39" x14ac:dyDescent="0.2">
      <c r="A155" s="5" t="s">
        <v>292</v>
      </c>
      <c r="B155" s="20">
        <v>-0.37008999999999997</v>
      </c>
      <c r="C155" s="20">
        <v>-0.223026</v>
      </c>
      <c r="D155" s="20">
        <v>0.13564100000000001</v>
      </c>
      <c r="E155" s="20">
        <v>5.8201999999999997E-2</v>
      </c>
      <c r="F155" s="20">
        <v>8.5094000000000003E-2</v>
      </c>
      <c r="G155" s="20">
        <v>1.27451</v>
      </c>
    </row>
    <row r="156" spans="1:39" x14ac:dyDescent="0.2">
      <c r="A156" s="5" t="s">
        <v>454</v>
      </c>
      <c r="B156" s="20">
        <v>-0.127967</v>
      </c>
      <c r="C156" s="20">
        <v>6.0981E-2</v>
      </c>
      <c r="D156" s="20">
        <v>-4.6642999999999997E-2</v>
      </c>
      <c r="E156" s="20">
        <v>-7.5788999999999995E-2</v>
      </c>
      <c r="F156" s="20">
        <v>1.268E-3</v>
      </c>
      <c r="G156" s="20">
        <v>4.4511000000000002E-2</v>
      </c>
    </row>
    <row r="157" spans="1:39" ht="17" x14ac:dyDescent="0.2">
      <c r="A157" s="5" t="s">
        <v>455</v>
      </c>
      <c r="B157" s="20" t="s">
        <v>35</v>
      </c>
      <c r="C157" s="20" t="s">
        <v>35</v>
      </c>
      <c r="D157" s="20">
        <v>7.7090000000000006E-2</v>
      </c>
      <c r="E157" s="20">
        <v>9.4857999999999998E-2</v>
      </c>
      <c r="F157" s="20">
        <v>-0.19395499999999999</v>
      </c>
      <c r="G157" s="20">
        <v>0.31151200000000001</v>
      </c>
    </row>
    <row r="158" spans="1:39" ht="17" x14ac:dyDescent="0.2">
      <c r="A158" s="5" t="s">
        <v>456</v>
      </c>
      <c r="B158" s="20">
        <v>0.29694399999999999</v>
      </c>
      <c r="C158" s="20" t="s">
        <v>35</v>
      </c>
      <c r="D158" s="20">
        <v>7.2617000000000001E-2</v>
      </c>
      <c r="E158" s="20">
        <v>0.100275</v>
      </c>
      <c r="F158" s="20">
        <v>-0.149896</v>
      </c>
      <c r="G158" s="20">
        <v>0.220497</v>
      </c>
    </row>
    <row r="159" spans="1:39" ht="17" x14ac:dyDescent="0.2">
      <c r="A159" s="5" t="s">
        <v>457</v>
      </c>
      <c r="B159" s="20">
        <v>0.51130900000000001</v>
      </c>
      <c r="C159" s="23" t="s">
        <v>27</v>
      </c>
      <c r="D159" s="23" t="s">
        <v>27</v>
      </c>
      <c r="E159" s="20">
        <v>0.23460700000000001</v>
      </c>
      <c r="F159" s="20">
        <v>0.106047</v>
      </c>
      <c r="G159" s="20">
        <v>3.4015999999999998E-2</v>
      </c>
    </row>
    <row r="160" spans="1:39" x14ac:dyDescent="0.2">
      <c r="A160" s="5"/>
      <c r="B160" s="5"/>
      <c r="C160" s="5"/>
      <c r="D160" s="5"/>
      <c r="E160" s="5"/>
      <c r="F160" s="5"/>
      <c r="G160" s="171"/>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row>
    <row r="161" spans="1:39" x14ac:dyDescent="0.2">
      <c r="A161" s="51" t="s">
        <v>184</v>
      </c>
      <c r="B161" s="25"/>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c r="AA161" s="25"/>
      <c r="AB161" s="25"/>
      <c r="AC161" s="25"/>
      <c r="AD161" s="25"/>
      <c r="AE161" s="25"/>
      <c r="AF161" s="25"/>
      <c r="AG161" s="25"/>
      <c r="AH161" s="25"/>
      <c r="AI161" s="25"/>
      <c r="AJ161" s="25"/>
      <c r="AK161" s="25"/>
      <c r="AL161" s="25"/>
      <c r="AM161" s="25"/>
    </row>
    <row r="162" spans="1:39" x14ac:dyDescent="0.2">
      <c r="A162" s="27" t="s">
        <v>73</v>
      </c>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A386E-2AE7-2A4E-8776-F5FBB76FB739}">
  <dimension ref="A5:HU65"/>
  <sheetViews>
    <sheetView topLeftCell="A7" workbookViewId="0">
      <selection activeCell="K25" sqref="K25"/>
    </sheetView>
  </sheetViews>
  <sheetFormatPr baseColWidth="10" defaultRowHeight="16" x14ac:dyDescent="0.2"/>
  <cols>
    <col min="1" max="1" width="45.83203125" style="2" customWidth="1"/>
    <col min="2" max="33" width="14.83203125" style="2" customWidth="1"/>
    <col min="34" max="256" width="8.83203125" style="2" customWidth="1"/>
    <col min="257" max="257" width="45.83203125" style="2" customWidth="1"/>
    <col min="258" max="289" width="14.83203125" style="2" customWidth="1"/>
    <col min="290" max="512" width="8.83203125" style="2" customWidth="1"/>
    <col min="513" max="513" width="45.83203125" style="2" customWidth="1"/>
    <col min="514" max="545" width="14.83203125" style="2" customWidth="1"/>
    <col min="546" max="768" width="8.83203125" style="2" customWidth="1"/>
    <col min="769" max="769" width="45.83203125" style="2" customWidth="1"/>
    <col min="770" max="801" width="14.83203125" style="2" customWidth="1"/>
    <col min="802" max="1024" width="8.83203125" style="2" customWidth="1"/>
    <col min="1025" max="1025" width="45.83203125" style="2" customWidth="1"/>
    <col min="1026" max="1057" width="14.83203125" style="2" customWidth="1"/>
    <col min="1058" max="1280" width="8.83203125" style="2" customWidth="1"/>
    <col min="1281" max="1281" width="45.83203125" style="2" customWidth="1"/>
    <col min="1282" max="1313" width="14.83203125" style="2" customWidth="1"/>
    <col min="1314" max="1536" width="8.83203125" style="2" customWidth="1"/>
    <col min="1537" max="1537" width="45.83203125" style="2" customWidth="1"/>
    <col min="1538" max="1569" width="14.83203125" style="2" customWidth="1"/>
    <col min="1570" max="1792" width="8.83203125" style="2" customWidth="1"/>
    <col min="1793" max="1793" width="45.83203125" style="2" customWidth="1"/>
    <col min="1794" max="1825" width="14.83203125" style="2" customWidth="1"/>
    <col min="1826" max="2048" width="8.83203125" style="2" customWidth="1"/>
    <col min="2049" max="2049" width="45.83203125" style="2" customWidth="1"/>
    <col min="2050" max="2081" width="14.83203125" style="2" customWidth="1"/>
    <col min="2082" max="2304" width="8.83203125" style="2" customWidth="1"/>
    <col min="2305" max="2305" width="45.83203125" style="2" customWidth="1"/>
    <col min="2306" max="2337" width="14.83203125" style="2" customWidth="1"/>
    <col min="2338" max="2560" width="8.83203125" style="2" customWidth="1"/>
    <col min="2561" max="2561" width="45.83203125" style="2" customWidth="1"/>
    <col min="2562" max="2593" width="14.83203125" style="2" customWidth="1"/>
    <col min="2594" max="2816" width="8.83203125" style="2" customWidth="1"/>
    <col min="2817" max="2817" width="45.83203125" style="2" customWidth="1"/>
    <col min="2818" max="2849" width="14.83203125" style="2" customWidth="1"/>
    <col min="2850" max="3072" width="8.83203125" style="2" customWidth="1"/>
    <col min="3073" max="3073" width="45.83203125" style="2" customWidth="1"/>
    <col min="3074" max="3105" width="14.83203125" style="2" customWidth="1"/>
    <col min="3106" max="3328" width="8.83203125" style="2" customWidth="1"/>
    <col min="3329" max="3329" width="45.83203125" style="2" customWidth="1"/>
    <col min="3330" max="3361" width="14.83203125" style="2" customWidth="1"/>
    <col min="3362" max="3584" width="8.83203125" style="2" customWidth="1"/>
    <col min="3585" max="3585" width="45.83203125" style="2" customWidth="1"/>
    <col min="3586" max="3617" width="14.83203125" style="2" customWidth="1"/>
    <col min="3618" max="3840" width="8.83203125" style="2" customWidth="1"/>
    <col min="3841" max="3841" width="45.83203125" style="2" customWidth="1"/>
    <col min="3842" max="3873" width="14.83203125" style="2" customWidth="1"/>
    <col min="3874" max="4096" width="8.83203125" style="2" customWidth="1"/>
    <col min="4097" max="4097" width="45.83203125" style="2" customWidth="1"/>
    <col min="4098" max="4129" width="14.83203125" style="2" customWidth="1"/>
    <col min="4130" max="4352" width="8.83203125" style="2" customWidth="1"/>
    <col min="4353" max="4353" width="45.83203125" style="2" customWidth="1"/>
    <col min="4354" max="4385" width="14.83203125" style="2" customWidth="1"/>
    <col min="4386" max="4608" width="8.83203125" style="2" customWidth="1"/>
    <col min="4609" max="4609" width="45.83203125" style="2" customWidth="1"/>
    <col min="4610" max="4641" width="14.83203125" style="2" customWidth="1"/>
    <col min="4642" max="4864" width="8.83203125" style="2" customWidth="1"/>
    <col min="4865" max="4865" width="45.83203125" style="2" customWidth="1"/>
    <col min="4866" max="4897" width="14.83203125" style="2" customWidth="1"/>
    <col min="4898" max="5120" width="8.83203125" style="2" customWidth="1"/>
    <col min="5121" max="5121" width="45.83203125" style="2" customWidth="1"/>
    <col min="5122" max="5153" width="14.83203125" style="2" customWidth="1"/>
    <col min="5154" max="5376" width="8.83203125" style="2" customWidth="1"/>
    <col min="5377" max="5377" width="45.83203125" style="2" customWidth="1"/>
    <col min="5378" max="5409" width="14.83203125" style="2" customWidth="1"/>
    <col min="5410" max="5632" width="8.83203125" style="2" customWidth="1"/>
    <col min="5633" max="5633" width="45.83203125" style="2" customWidth="1"/>
    <col min="5634" max="5665" width="14.83203125" style="2" customWidth="1"/>
    <col min="5666" max="5888" width="8.83203125" style="2" customWidth="1"/>
    <col min="5889" max="5889" width="45.83203125" style="2" customWidth="1"/>
    <col min="5890" max="5921" width="14.83203125" style="2" customWidth="1"/>
    <col min="5922" max="6144" width="8.83203125" style="2" customWidth="1"/>
    <col min="6145" max="6145" width="45.83203125" style="2" customWidth="1"/>
    <col min="6146" max="6177" width="14.83203125" style="2" customWidth="1"/>
    <col min="6178" max="6400" width="8.83203125" style="2" customWidth="1"/>
    <col min="6401" max="6401" width="45.83203125" style="2" customWidth="1"/>
    <col min="6402" max="6433" width="14.83203125" style="2" customWidth="1"/>
    <col min="6434" max="6656" width="8.83203125" style="2" customWidth="1"/>
    <col min="6657" max="6657" width="45.83203125" style="2" customWidth="1"/>
    <col min="6658" max="6689" width="14.83203125" style="2" customWidth="1"/>
    <col min="6690" max="6912" width="8.83203125" style="2" customWidth="1"/>
    <col min="6913" max="6913" width="45.83203125" style="2" customWidth="1"/>
    <col min="6914" max="6945" width="14.83203125" style="2" customWidth="1"/>
    <col min="6946" max="7168" width="8.83203125" style="2" customWidth="1"/>
    <col min="7169" max="7169" width="45.83203125" style="2" customWidth="1"/>
    <col min="7170" max="7201" width="14.83203125" style="2" customWidth="1"/>
    <col min="7202" max="7424" width="8.83203125" style="2" customWidth="1"/>
    <col min="7425" max="7425" width="45.83203125" style="2" customWidth="1"/>
    <col min="7426" max="7457" width="14.83203125" style="2" customWidth="1"/>
    <col min="7458" max="7680" width="8.83203125" style="2" customWidth="1"/>
    <col min="7681" max="7681" width="45.83203125" style="2" customWidth="1"/>
    <col min="7682" max="7713" width="14.83203125" style="2" customWidth="1"/>
    <col min="7714" max="7936" width="8.83203125" style="2" customWidth="1"/>
    <col min="7937" max="7937" width="45.83203125" style="2" customWidth="1"/>
    <col min="7938" max="7969" width="14.83203125" style="2" customWidth="1"/>
    <col min="7970" max="8192" width="8.83203125" style="2" customWidth="1"/>
    <col min="8193" max="8193" width="45.83203125" style="2" customWidth="1"/>
    <col min="8194" max="8225" width="14.83203125" style="2" customWidth="1"/>
    <col min="8226" max="8448" width="8.83203125" style="2" customWidth="1"/>
    <col min="8449" max="8449" width="45.83203125" style="2" customWidth="1"/>
    <col min="8450" max="8481" width="14.83203125" style="2" customWidth="1"/>
    <col min="8482" max="8704" width="8.83203125" style="2" customWidth="1"/>
    <col min="8705" max="8705" width="45.83203125" style="2" customWidth="1"/>
    <col min="8706" max="8737" width="14.83203125" style="2" customWidth="1"/>
    <col min="8738" max="8960" width="8.83203125" style="2" customWidth="1"/>
    <col min="8961" max="8961" width="45.83203125" style="2" customWidth="1"/>
    <col min="8962" max="8993" width="14.83203125" style="2" customWidth="1"/>
    <col min="8994" max="9216" width="8.83203125" style="2" customWidth="1"/>
    <col min="9217" max="9217" width="45.83203125" style="2" customWidth="1"/>
    <col min="9218" max="9249" width="14.83203125" style="2" customWidth="1"/>
    <col min="9250" max="9472" width="8.83203125" style="2" customWidth="1"/>
    <col min="9473" max="9473" width="45.83203125" style="2" customWidth="1"/>
    <col min="9474" max="9505" width="14.83203125" style="2" customWidth="1"/>
    <col min="9506" max="9728" width="8.83203125" style="2" customWidth="1"/>
    <col min="9729" max="9729" width="45.83203125" style="2" customWidth="1"/>
    <col min="9730" max="9761" width="14.83203125" style="2" customWidth="1"/>
    <col min="9762" max="9984" width="8.83203125" style="2" customWidth="1"/>
    <col min="9985" max="9985" width="45.83203125" style="2" customWidth="1"/>
    <col min="9986" max="10017" width="14.83203125" style="2" customWidth="1"/>
    <col min="10018" max="10240" width="8.83203125" style="2" customWidth="1"/>
    <col min="10241" max="10241" width="45.83203125" style="2" customWidth="1"/>
    <col min="10242" max="10273" width="14.83203125" style="2" customWidth="1"/>
    <col min="10274" max="10496" width="8.83203125" style="2" customWidth="1"/>
    <col min="10497" max="10497" width="45.83203125" style="2" customWidth="1"/>
    <col min="10498" max="10529" width="14.83203125" style="2" customWidth="1"/>
    <col min="10530" max="10752" width="8.83203125" style="2" customWidth="1"/>
    <col min="10753" max="10753" width="45.83203125" style="2" customWidth="1"/>
    <col min="10754" max="10785" width="14.83203125" style="2" customWidth="1"/>
    <col min="10786" max="11008" width="8.83203125" style="2" customWidth="1"/>
    <col min="11009" max="11009" width="45.83203125" style="2" customWidth="1"/>
    <col min="11010" max="11041" width="14.83203125" style="2" customWidth="1"/>
    <col min="11042" max="11264" width="8.83203125" style="2" customWidth="1"/>
    <col min="11265" max="11265" width="45.83203125" style="2" customWidth="1"/>
    <col min="11266" max="11297" width="14.83203125" style="2" customWidth="1"/>
    <col min="11298" max="11520" width="8.83203125" style="2" customWidth="1"/>
    <col min="11521" max="11521" width="45.83203125" style="2" customWidth="1"/>
    <col min="11522" max="11553" width="14.83203125" style="2" customWidth="1"/>
    <col min="11554" max="11776" width="8.83203125" style="2" customWidth="1"/>
    <col min="11777" max="11777" width="45.83203125" style="2" customWidth="1"/>
    <col min="11778" max="11809" width="14.83203125" style="2" customWidth="1"/>
    <col min="11810" max="12032" width="8.83203125" style="2" customWidth="1"/>
    <col min="12033" max="12033" width="45.83203125" style="2" customWidth="1"/>
    <col min="12034" max="12065" width="14.83203125" style="2" customWidth="1"/>
    <col min="12066" max="12288" width="8.83203125" style="2" customWidth="1"/>
    <col min="12289" max="12289" width="45.83203125" style="2" customWidth="1"/>
    <col min="12290" max="12321" width="14.83203125" style="2" customWidth="1"/>
    <col min="12322" max="12544" width="8.83203125" style="2" customWidth="1"/>
    <col min="12545" max="12545" width="45.83203125" style="2" customWidth="1"/>
    <col min="12546" max="12577" width="14.83203125" style="2" customWidth="1"/>
    <col min="12578" max="12800" width="8.83203125" style="2" customWidth="1"/>
    <col min="12801" max="12801" width="45.83203125" style="2" customWidth="1"/>
    <col min="12802" max="12833" width="14.83203125" style="2" customWidth="1"/>
    <col min="12834" max="13056" width="8.83203125" style="2" customWidth="1"/>
    <col min="13057" max="13057" width="45.83203125" style="2" customWidth="1"/>
    <col min="13058" max="13089" width="14.83203125" style="2" customWidth="1"/>
    <col min="13090" max="13312" width="8.83203125" style="2" customWidth="1"/>
    <col min="13313" max="13313" width="45.83203125" style="2" customWidth="1"/>
    <col min="13314" max="13345" width="14.83203125" style="2" customWidth="1"/>
    <col min="13346" max="13568" width="8.83203125" style="2" customWidth="1"/>
    <col min="13569" max="13569" width="45.83203125" style="2" customWidth="1"/>
    <col min="13570" max="13601" width="14.83203125" style="2" customWidth="1"/>
    <col min="13602" max="13824" width="8.83203125" style="2" customWidth="1"/>
    <col min="13825" max="13825" width="45.83203125" style="2" customWidth="1"/>
    <col min="13826" max="13857" width="14.83203125" style="2" customWidth="1"/>
    <col min="13858" max="14080" width="8.83203125" style="2" customWidth="1"/>
    <col min="14081" max="14081" width="45.83203125" style="2" customWidth="1"/>
    <col min="14082" max="14113" width="14.83203125" style="2" customWidth="1"/>
    <col min="14114" max="14336" width="8.83203125" style="2" customWidth="1"/>
    <col min="14337" max="14337" width="45.83203125" style="2" customWidth="1"/>
    <col min="14338" max="14369" width="14.83203125" style="2" customWidth="1"/>
    <col min="14370" max="14592" width="8.83203125" style="2" customWidth="1"/>
    <col min="14593" max="14593" width="45.83203125" style="2" customWidth="1"/>
    <col min="14594" max="14625" width="14.83203125" style="2" customWidth="1"/>
    <col min="14626" max="14848" width="8.83203125" style="2" customWidth="1"/>
    <col min="14849" max="14849" width="45.83203125" style="2" customWidth="1"/>
    <col min="14850" max="14881" width="14.83203125" style="2" customWidth="1"/>
    <col min="14882" max="15104" width="8.83203125" style="2" customWidth="1"/>
    <col min="15105" max="15105" width="45.83203125" style="2" customWidth="1"/>
    <col min="15106" max="15137" width="14.83203125" style="2" customWidth="1"/>
    <col min="15138" max="15360" width="8.83203125" style="2" customWidth="1"/>
    <col min="15361" max="15361" width="45.83203125" style="2" customWidth="1"/>
    <col min="15362" max="15393" width="14.83203125" style="2" customWidth="1"/>
    <col min="15394" max="15616" width="8.83203125" style="2" customWidth="1"/>
    <col min="15617" max="15617" width="45.83203125" style="2" customWidth="1"/>
    <col min="15618" max="15649" width="14.83203125" style="2" customWidth="1"/>
    <col min="15650" max="15872" width="8.83203125" style="2" customWidth="1"/>
    <col min="15873" max="15873" width="45.83203125" style="2" customWidth="1"/>
    <col min="15874" max="15905" width="14.83203125" style="2" customWidth="1"/>
    <col min="15906" max="16128" width="8.83203125" style="2" customWidth="1"/>
    <col min="16129" max="16129" width="45.83203125" style="2" customWidth="1"/>
    <col min="16130" max="16161" width="14.83203125" style="2" customWidth="1"/>
    <col min="16162" max="16384" width="8.83203125" style="2" customWidth="1"/>
  </cols>
  <sheetData>
    <row r="5" spans="1:229" x14ac:dyDescent="0.2">
      <c r="A5" s="1" t="s">
        <v>461</v>
      </c>
    </row>
    <row r="7" spans="1:229" ht="34" x14ac:dyDescent="0.2">
      <c r="A7" s="3" t="s">
        <v>75</v>
      </c>
      <c r="B7" s="4" t="s">
        <v>78</v>
      </c>
      <c r="C7" s="2" t="s">
        <v>79</v>
      </c>
      <c r="D7" s="5" t="s">
        <v>4</v>
      </c>
      <c r="E7" s="4" t="s">
        <v>80</v>
      </c>
      <c r="F7" s="2" t="s">
        <v>81</v>
      </c>
    </row>
    <row r="8" spans="1:229" x14ac:dyDescent="0.2">
      <c r="A8" s="5"/>
      <c r="B8" s="4" t="s">
        <v>2</v>
      </c>
      <c r="C8" s="2" t="s">
        <v>82</v>
      </c>
      <c r="D8" s="5" t="s">
        <v>4</v>
      </c>
      <c r="E8" s="4" t="s">
        <v>5</v>
      </c>
      <c r="F8" s="2" t="s">
        <v>6</v>
      </c>
    </row>
    <row r="9" spans="1:229" x14ac:dyDescent="0.2">
      <c r="A9" s="5"/>
      <c r="B9" s="4" t="s">
        <v>7</v>
      </c>
      <c r="C9" s="2" t="s">
        <v>8</v>
      </c>
      <c r="D9" s="5" t="s">
        <v>4</v>
      </c>
      <c r="E9" s="4" t="s">
        <v>9</v>
      </c>
      <c r="F9" s="2" t="s">
        <v>10</v>
      </c>
    </row>
    <row r="10" spans="1:229" x14ac:dyDescent="0.2">
      <c r="A10" s="5"/>
      <c r="B10" s="4" t="s">
        <v>11</v>
      </c>
      <c r="C10" s="6" t="s">
        <v>12</v>
      </c>
      <c r="D10" s="5" t="s">
        <v>4</v>
      </c>
      <c r="E10" s="4" t="s">
        <v>83</v>
      </c>
      <c r="F10" s="2" t="s">
        <v>84</v>
      </c>
    </row>
    <row r="13" spans="1:229" x14ac:dyDescent="0.2">
      <c r="A13" s="8" t="s">
        <v>462</v>
      </c>
      <c r="B13" s="8"/>
      <c r="C13" s="8"/>
      <c r="D13" s="8"/>
      <c r="E13" s="8"/>
      <c r="F13" s="8"/>
      <c r="G13" s="8"/>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9"/>
      <c r="GM13" s="9"/>
      <c r="GN13" s="9"/>
      <c r="GO13" s="9"/>
      <c r="GP13" s="9"/>
      <c r="GQ13" s="9"/>
      <c r="GR13" s="9"/>
      <c r="GS13" s="9"/>
      <c r="GT13" s="9"/>
      <c r="GU13" s="9"/>
      <c r="GV13" s="9"/>
      <c r="GW13" s="9"/>
      <c r="GX13" s="9"/>
      <c r="GY13" s="9"/>
      <c r="GZ13" s="9"/>
      <c r="HA13" s="9"/>
      <c r="HB13" s="9"/>
      <c r="HC13" s="9"/>
      <c r="HD13" s="9"/>
      <c r="HE13" s="9"/>
      <c r="HF13" s="9"/>
      <c r="HG13" s="9"/>
      <c r="HH13" s="9"/>
      <c r="HI13" s="9"/>
      <c r="HJ13" s="9"/>
      <c r="HK13" s="9"/>
      <c r="HL13" s="9"/>
      <c r="HM13" s="9"/>
      <c r="HN13" s="9"/>
      <c r="HO13" s="9"/>
      <c r="HP13" s="9"/>
      <c r="HQ13" s="9"/>
      <c r="HR13" s="9"/>
      <c r="HS13" s="9"/>
      <c r="HT13" s="9"/>
      <c r="HU13" s="9"/>
    </row>
    <row r="14" spans="1:229" ht="34" x14ac:dyDescent="0.2">
      <c r="A14" s="10" t="s">
        <v>16</v>
      </c>
      <c r="B14" s="11" t="s">
        <v>395</v>
      </c>
      <c r="C14" s="11" t="s">
        <v>396</v>
      </c>
      <c r="D14" s="11" t="s">
        <v>275</v>
      </c>
      <c r="E14" s="11" t="s">
        <v>397</v>
      </c>
      <c r="F14" s="11" t="s">
        <v>276</v>
      </c>
      <c r="G14" s="11" t="s">
        <v>91</v>
      </c>
    </row>
    <row r="15" spans="1:229" ht="17" x14ac:dyDescent="0.2">
      <c r="A15" s="12" t="s">
        <v>23</v>
      </c>
      <c r="B15" s="13" t="s">
        <v>24</v>
      </c>
      <c r="C15" s="13" t="s">
        <v>24</v>
      </c>
      <c r="D15" s="13" t="s">
        <v>24</v>
      </c>
      <c r="E15" s="13" t="s">
        <v>24</v>
      </c>
      <c r="F15" s="13" t="s">
        <v>24</v>
      </c>
      <c r="G15" s="13" t="s">
        <v>24</v>
      </c>
    </row>
    <row r="16" spans="1:229" x14ac:dyDescent="0.2">
      <c r="A16" s="14" t="s">
        <v>463</v>
      </c>
      <c r="B16" s="5"/>
      <c r="C16" s="5"/>
      <c r="D16" s="5"/>
      <c r="E16" s="5"/>
      <c r="F16" s="5"/>
      <c r="G16" s="5"/>
    </row>
    <row r="17" spans="1:7" x14ac:dyDescent="0.2">
      <c r="A17" s="5" t="s">
        <v>464</v>
      </c>
      <c r="B17" s="15">
        <v>211.96531999999999</v>
      </c>
      <c r="C17" s="15">
        <v>251.19993299999999</v>
      </c>
      <c r="D17" s="15">
        <v>182.75824</v>
      </c>
      <c r="E17" s="15">
        <v>169.85134300000001</v>
      </c>
      <c r="F17" s="15">
        <v>185.238316</v>
      </c>
      <c r="G17" s="15">
        <v>201.353804</v>
      </c>
    </row>
    <row r="18" spans="1:7" x14ac:dyDescent="0.2">
      <c r="A18" s="5" t="s">
        <v>465</v>
      </c>
      <c r="B18" s="15">
        <v>37.027710999999996</v>
      </c>
      <c r="C18" s="15">
        <v>63.322667000000003</v>
      </c>
      <c r="D18" s="15">
        <v>39.428899000000001</v>
      </c>
      <c r="E18" s="15">
        <v>71.387732999999997</v>
      </c>
      <c r="F18" s="15">
        <v>64.350044999999994</v>
      </c>
      <c r="G18" s="15">
        <v>50.709924000000001</v>
      </c>
    </row>
    <row r="19" spans="1:7" x14ac:dyDescent="0.2">
      <c r="A19" s="5" t="s">
        <v>466</v>
      </c>
      <c r="B19" s="15">
        <v>24.060679</v>
      </c>
      <c r="C19" s="15">
        <v>106.48399999999999</v>
      </c>
      <c r="D19" s="15">
        <v>33.091422000000001</v>
      </c>
      <c r="E19" s="15">
        <v>25.668939999999999</v>
      </c>
      <c r="F19" s="15">
        <v>27.378387</v>
      </c>
      <c r="G19" s="15">
        <v>35.800623999999999</v>
      </c>
    </row>
    <row r="20" spans="1:7" x14ac:dyDescent="0.2">
      <c r="A20" s="5" t="s">
        <v>467</v>
      </c>
      <c r="B20" s="15">
        <v>36.390014999999998</v>
      </c>
      <c r="C20" s="15">
        <v>25.280360000000002</v>
      </c>
      <c r="D20" s="15">
        <v>19.244374000000001</v>
      </c>
      <c r="E20" s="15">
        <v>30.33182</v>
      </c>
      <c r="F20" s="15">
        <v>20.856169999999999</v>
      </c>
      <c r="G20" s="15">
        <v>16.934885000000001</v>
      </c>
    </row>
    <row r="21" spans="1:7" x14ac:dyDescent="0.2">
      <c r="A21" s="5" t="s">
        <v>468</v>
      </c>
      <c r="B21" s="15">
        <v>198.31573499999999</v>
      </c>
      <c r="C21" s="15">
        <v>182.75824</v>
      </c>
      <c r="D21" s="15">
        <v>169.85134300000001</v>
      </c>
      <c r="E21" s="15">
        <v>185.238316</v>
      </c>
      <c r="F21" s="15">
        <v>201.353804</v>
      </c>
      <c r="G21" s="15">
        <v>199.32821899999999</v>
      </c>
    </row>
    <row r="22" spans="1:7" x14ac:dyDescent="0.2">
      <c r="A22" s="5" t="s">
        <v>469</v>
      </c>
      <c r="B22" s="19">
        <v>2.0076999999999998</v>
      </c>
      <c r="C22" s="19">
        <v>1.8520000000000001</v>
      </c>
      <c r="D22" s="19">
        <v>2.0539999999999998</v>
      </c>
      <c r="E22" s="19">
        <v>1.9690000000000001</v>
      </c>
      <c r="F22" s="19">
        <v>2.044</v>
      </c>
      <c r="G22" s="19">
        <v>2.2490000000000001</v>
      </c>
    </row>
    <row r="23" spans="1:7" x14ac:dyDescent="0.2">
      <c r="A23" s="5" t="s">
        <v>470</v>
      </c>
      <c r="B23" s="19">
        <v>2.7423000000000002</v>
      </c>
      <c r="C23" s="19">
        <v>1.964</v>
      </c>
      <c r="D23" s="19">
        <v>2.4129999999999998</v>
      </c>
      <c r="E23" s="19">
        <v>1.8169999999999999</v>
      </c>
      <c r="F23" s="19">
        <v>2.198</v>
      </c>
      <c r="G23" s="19">
        <v>2.7890000000000001</v>
      </c>
    </row>
    <row r="24" spans="1:7" x14ac:dyDescent="0.2">
      <c r="A24" s="5"/>
      <c r="B24" s="5"/>
      <c r="C24" s="5"/>
      <c r="D24" s="5"/>
      <c r="E24" s="5"/>
      <c r="F24" s="5"/>
      <c r="G24" s="5"/>
    </row>
    <row r="25" spans="1:7" x14ac:dyDescent="0.2">
      <c r="A25" s="14" t="s">
        <v>471</v>
      </c>
      <c r="B25" s="5"/>
      <c r="C25" s="5"/>
      <c r="D25" s="5"/>
      <c r="E25" s="5"/>
      <c r="F25" s="5"/>
      <c r="G25" s="5"/>
    </row>
    <row r="26" spans="1:7" x14ac:dyDescent="0.2">
      <c r="A26" s="5" t="s">
        <v>464</v>
      </c>
      <c r="B26" s="15">
        <v>211.96531999999999</v>
      </c>
      <c r="C26" s="15">
        <v>251.19993299999999</v>
      </c>
      <c r="D26" s="15">
        <v>182.75824</v>
      </c>
      <c r="E26" s="15">
        <v>169.85134300000001</v>
      </c>
      <c r="F26" s="15">
        <v>185.238316</v>
      </c>
      <c r="G26" s="15">
        <v>201.353804</v>
      </c>
    </row>
    <row r="27" spans="1:7" x14ac:dyDescent="0.2">
      <c r="A27" s="5" t="s">
        <v>465</v>
      </c>
      <c r="B27" s="15">
        <v>37.027710999999996</v>
      </c>
      <c r="C27" s="15">
        <v>63.322667000000003</v>
      </c>
      <c r="D27" s="15">
        <v>39.428899000000001</v>
      </c>
      <c r="E27" s="15">
        <v>71.387732999999997</v>
      </c>
      <c r="F27" s="15">
        <v>64.350044999999994</v>
      </c>
      <c r="G27" s="15">
        <v>50.709924000000001</v>
      </c>
    </row>
    <row r="28" spans="1:7" x14ac:dyDescent="0.2">
      <c r="A28" s="5" t="s">
        <v>466</v>
      </c>
      <c r="B28" s="15">
        <v>24.060679</v>
      </c>
      <c r="C28" s="15">
        <v>106.48399999999999</v>
      </c>
      <c r="D28" s="15">
        <v>33.091422000000001</v>
      </c>
      <c r="E28" s="15">
        <v>25.668939999999999</v>
      </c>
      <c r="F28" s="15">
        <v>27.378387</v>
      </c>
      <c r="G28" s="15">
        <v>35.800623999999999</v>
      </c>
    </row>
    <row r="29" spans="1:7" x14ac:dyDescent="0.2">
      <c r="A29" s="5" t="s">
        <v>467</v>
      </c>
      <c r="B29" s="15">
        <v>36.390014999999998</v>
      </c>
      <c r="C29" s="15">
        <v>25.280360000000002</v>
      </c>
      <c r="D29" s="15">
        <v>19.244374000000001</v>
      </c>
      <c r="E29" s="15">
        <v>30.33182</v>
      </c>
      <c r="F29" s="15">
        <v>20.856169999999999</v>
      </c>
      <c r="G29" s="15">
        <v>16.934885000000001</v>
      </c>
    </row>
    <row r="30" spans="1:7" x14ac:dyDescent="0.2">
      <c r="A30" s="5" t="s">
        <v>468</v>
      </c>
      <c r="B30" s="15">
        <v>198.31573499999999</v>
      </c>
      <c r="C30" s="15">
        <v>182.75824</v>
      </c>
      <c r="D30" s="15">
        <v>169.85134300000001</v>
      </c>
      <c r="E30" s="15">
        <v>185.238316</v>
      </c>
      <c r="F30" s="15">
        <v>201.353804</v>
      </c>
      <c r="G30" s="15">
        <v>199.32821899999999</v>
      </c>
    </row>
    <row r="31" spans="1:7" x14ac:dyDescent="0.2">
      <c r="A31" s="5"/>
      <c r="B31" s="5"/>
      <c r="C31" s="5"/>
      <c r="D31" s="5"/>
      <c r="E31" s="5"/>
      <c r="F31" s="5"/>
      <c r="G31" s="5"/>
    </row>
    <row r="32" spans="1:7" x14ac:dyDescent="0.2">
      <c r="A32" s="14" t="s">
        <v>472</v>
      </c>
      <c r="B32" s="5"/>
      <c r="C32" s="5"/>
      <c r="D32" s="5"/>
      <c r="E32" s="5"/>
      <c r="F32" s="5"/>
      <c r="G32" s="5"/>
    </row>
    <row r="33" spans="1:7" x14ac:dyDescent="0.2">
      <c r="A33" s="5" t="s">
        <v>473</v>
      </c>
      <c r="B33" s="15">
        <v>127</v>
      </c>
      <c r="C33" s="15">
        <v>69</v>
      </c>
      <c r="D33" s="15">
        <v>122</v>
      </c>
      <c r="E33" s="15">
        <v>110</v>
      </c>
      <c r="F33" s="15">
        <v>120</v>
      </c>
      <c r="G33" s="15">
        <v>131</v>
      </c>
    </row>
    <row r="34" spans="1:7" x14ac:dyDescent="0.2">
      <c r="A34" s="5"/>
      <c r="B34" s="5"/>
      <c r="C34" s="5"/>
      <c r="D34" s="5"/>
      <c r="E34" s="5"/>
      <c r="F34" s="5"/>
      <c r="G34" s="5"/>
    </row>
    <row r="35" spans="1:7" x14ac:dyDescent="0.2">
      <c r="A35" s="14" t="s">
        <v>474</v>
      </c>
      <c r="B35" s="5"/>
      <c r="C35" s="5"/>
      <c r="D35" s="5"/>
      <c r="E35" s="5"/>
      <c r="F35" s="5"/>
      <c r="G35" s="5"/>
    </row>
    <row r="36" spans="1:7" ht="17" x14ac:dyDescent="0.2">
      <c r="A36" s="5" t="s">
        <v>475</v>
      </c>
      <c r="B36" s="15">
        <v>54.75</v>
      </c>
      <c r="C36" s="15">
        <v>172.667</v>
      </c>
      <c r="D36" s="15" t="s">
        <v>52</v>
      </c>
      <c r="E36" s="15" t="s">
        <v>52</v>
      </c>
      <c r="F36" s="15" t="s">
        <v>52</v>
      </c>
      <c r="G36" s="15" t="s">
        <v>52</v>
      </c>
    </row>
    <row r="37" spans="1:7" ht="17" x14ac:dyDescent="0.2">
      <c r="A37" s="5" t="s">
        <v>476</v>
      </c>
      <c r="B37" s="15">
        <v>54.75</v>
      </c>
      <c r="C37" s="15">
        <v>172.667</v>
      </c>
      <c r="D37" s="15" t="s">
        <v>52</v>
      </c>
      <c r="E37" s="15" t="s">
        <v>52</v>
      </c>
      <c r="F37" s="15" t="s">
        <v>52</v>
      </c>
      <c r="G37" s="15" t="s">
        <v>52</v>
      </c>
    </row>
    <row r="38" spans="1:7" ht="17" x14ac:dyDescent="0.2">
      <c r="A38" s="5" t="s">
        <v>477</v>
      </c>
      <c r="B38" s="15">
        <v>54.75</v>
      </c>
      <c r="C38" s="15">
        <v>172.666</v>
      </c>
      <c r="D38" s="15" t="s">
        <v>52</v>
      </c>
      <c r="E38" s="15" t="s">
        <v>52</v>
      </c>
      <c r="F38" s="15" t="s">
        <v>52</v>
      </c>
      <c r="G38" s="15" t="s">
        <v>52</v>
      </c>
    </row>
    <row r="39" spans="1:7" ht="17" x14ac:dyDescent="0.2">
      <c r="A39" s="5" t="s">
        <v>478</v>
      </c>
      <c r="B39" s="15">
        <v>54.75</v>
      </c>
      <c r="C39" s="15" t="s">
        <v>52</v>
      </c>
      <c r="D39" s="15" t="s">
        <v>52</v>
      </c>
      <c r="E39" s="15" t="s">
        <v>52</v>
      </c>
      <c r="F39" s="15" t="s">
        <v>52</v>
      </c>
      <c r="G39" s="15" t="s">
        <v>52</v>
      </c>
    </row>
    <row r="40" spans="1:7" ht="17" x14ac:dyDescent="0.2">
      <c r="A40" s="5" t="s">
        <v>479</v>
      </c>
      <c r="B40" s="15">
        <v>142</v>
      </c>
      <c r="C40" s="15">
        <v>37</v>
      </c>
      <c r="D40" s="15" t="s">
        <v>52</v>
      </c>
      <c r="E40" s="15" t="s">
        <v>52</v>
      </c>
      <c r="F40" s="15">
        <v>881</v>
      </c>
      <c r="G40" s="15">
        <v>630</v>
      </c>
    </row>
    <row r="41" spans="1:7" ht="17" x14ac:dyDescent="0.2">
      <c r="A41" s="5" t="s">
        <v>480</v>
      </c>
      <c r="B41" s="15">
        <v>655</v>
      </c>
      <c r="C41" s="15">
        <v>68</v>
      </c>
      <c r="D41" s="15">
        <v>590</v>
      </c>
      <c r="E41" s="15">
        <v>1177</v>
      </c>
      <c r="F41" s="15" t="s">
        <v>52</v>
      </c>
      <c r="G41" s="15" t="s">
        <v>52</v>
      </c>
    </row>
    <row r="42" spans="1:7" x14ac:dyDescent="0.2">
      <c r="A42" s="5" t="s">
        <v>481</v>
      </c>
      <c r="B42" s="15">
        <v>1016</v>
      </c>
      <c r="C42" s="15">
        <v>623</v>
      </c>
      <c r="D42" s="15">
        <v>590</v>
      </c>
      <c r="E42" s="15">
        <v>1177</v>
      </c>
      <c r="F42" s="15">
        <v>881</v>
      </c>
      <c r="G42" s="15">
        <v>630</v>
      </c>
    </row>
    <row r="43" spans="1:7" x14ac:dyDescent="0.2">
      <c r="A43" s="5"/>
      <c r="B43" s="5"/>
      <c r="C43" s="5"/>
      <c r="D43" s="5"/>
      <c r="E43" s="5"/>
      <c r="F43" s="5"/>
      <c r="G43" s="5"/>
    </row>
    <row r="44" spans="1:7" ht="17" x14ac:dyDescent="0.2">
      <c r="A44" s="5" t="s">
        <v>482</v>
      </c>
      <c r="B44" s="15" t="s">
        <v>52</v>
      </c>
      <c r="C44" s="15" t="s">
        <v>52</v>
      </c>
      <c r="D44" s="15" t="s">
        <v>52</v>
      </c>
      <c r="E44" s="15" t="s">
        <v>52</v>
      </c>
      <c r="F44" s="15">
        <v>92</v>
      </c>
      <c r="G44" s="15">
        <v>89</v>
      </c>
    </row>
    <row r="45" spans="1:7" ht="17" x14ac:dyDescent="0.2">
      <c r="A45" s="5" t="s">
        <v>483</v>
      </c>
      <c r="B45" s="15" t="s">
        <v>52</v>
      </c>
      <c r="C45" s="15" t="s">
        <v>52</v>
      </c>
      <c r="D45" s="15" t="s">
        <v>52</v>
      </c>
      <c r="E45" s="15" t="s">
        <v>52</v>
      </c>
      <c r="F45" s="15">
        <v>92</v>
      </c>
      <c r="G45" s="15">
        <v>89</v>
      </c>
    </row>
    <row r="46" spans="1:7" x14ac:dyDescent="0.2">
      <c r="A46" s="5"/>
      <c r="B46" s="5"/>
      <c r="C46" s="5"/>
      <c r="D46" s="5"/>
      <c r="E46" s="5"/>
      <c r="F46" s="5"/>
      <c r="G46" s="5"/>
    </row>
    <row r="47" spans="1:7" x14ac:dyDescent="0.2">
      <c r="A47" s="14" t="s">
        <v>484</v>
      </c>
      <c r="B47" s="5"/>
      <c r="C47" s="5"/>
      <c r="D47" s="5"/>
      <c r="E47" s="5"/>
      <c r="F47" s="5"/>
      <c r="G47" s="5"/>
    </row>
    <row r="48" spans="1:7" ht="17" x14ac:dyDescent="0.2">
      <c r="A48" s="5" t="s">
        <v>159</v>
      </c>
      <c r="B48" s="15" t="s">
        <v>52</v>
      </c>
      <c r="C48" s="15" t="s">
        <v>52</v>
      </c>
      <c r="D48" s="15" t="s">
        <v>52</v>
      </c>
      <c r="E48" s="15" t="s">
        <v>52</v>
      </c>
      <c r="F48" s="15" t="s">
        <v>52</v>
      </c>
      <c r="G48" s="15" t="s">
        <v>52</v>
      </c>
    </row>
    <row r="49" spans="1:7" ht="17" x14ac:dyDescent="0.2">
      <c r="A49" s="5" t="s">
        <v>485</v>
      </c>
      <c r="B49" s="15" t="s">
        <v>52</v>
      </c>
      <c r="C49" s="15" t="s">
        <v>52</v>
      </c>
      <c r="D49" s="15" t="s">
        <v>52</v>
      </c>
      <c r="E49" s="15" t="s">
        <v>52</v>
      </c>
      <c r="F49" s="15" t="s">
        <v>52</v>
      </c>
      <c r="G49" s="15" t="s">
        <v>52</v>
      </c>
    </row>
    <row r="50" spans="1:7" x14ac:dyDescent="0.2">
      <c r="A50" s="5"/>
      <c r="B50" s="5"/>
      <c r="C50" s="5"/>
      <c r="D50" s="5"/>
      <c r="E50" s="5"/>
      <c r="F50" s="5"/>
      <c r="G50" s="5"/>
    </row>
    <row r="51" spans="1:7" x14ac:dyDescent="0.2">
      <c r="A51" s="14" t="s">
        <v>486</v>
      </c>
      <c r="B51" s="5"/>
      <c r="C51" s="5"/>
      <c r="D51" s="5"/>
      <c r="E51" s="5"/>
      <c r="F51" s="5"/>
      <c r="G51" s="5"/>
    </row>
    <row r="52" spans="1:7" ht="17" x14ac:dyDescent="0.2">
      <c r="A52" s="5" t="s">
        <v>487</v>
      </c>
      <c r="B52" s="15">
        <v>1058</v>
      </c>
      <c r="C52" s="15" t="s">
        <v>52</v>
      </c>
      <c r="D52" s="15">
        <v>1755</v>
      </c>
      <c r="E52" s="15">
        <v>1225</v>
      </c>
      <c r="F52" s="15">
        <v>1571</v>
      </c>
      <c r="G52" s="15">
        <v>2241</v>
      </c>
    </row>
    <row r="53" spans="1:7" x14ac:dyDescent="0.2">
      <c r="A53" s="5" t="s">
        <v>488</v>
      </c>
      <c r="B53" s="15">
        <v>1365</v>
      </c>
      <c r="C53" s="15">
        <v>1632</v>
      </c>
      <c r="D53" s="15">
        <v>437</v>
      </c>
      <c r="E53" s="15">
        <v>471</v>
      </c>
      <c r="F53" s="15">
        <v>188</v>
      </c>
      <c r="G53" s="15">
        <v>193</v>
      </c>
    </row>
    <row r="54" spans="1:7" x14ac:dyDescent="0.2">
      <c r="A54" s="5" t="s">
        <v>489</v>
      </c>
      <c r="B54" s="15">
        <v>8682</v>
      </c>
      <c r="C54" s="15">
        <v>6629</v>
      </c>
      <c r="D54" s="15">
        <v>7329</v>
      </c>
      <c r="E54" s="15">
        <v>7590</v>
      </c>
      <c r="F54" s="15">
        <v>817</v>
      </c>
      <c r="G54" s="15">
        <v>842</v>
      </c>
    </row>
    <row r="55" spans="1:7" x14ac:dyDescent="0.2">
      <c r="A55" s="5" t="s">
        <v>490</v>
      </c>
      <c r="B55" s="15">
        <v>11105</v>
      </c>
      <c r="C55" s="15">
        <v>8261</v>
      </c>
      <c r="D55" s="15">
        <v>9521</v>
      </c>
      <c r="E55" s="15">
        <v>9286</v>
      </c>
      <c r="F55" s="15">
        <v>2576</v>
      </c>
      <c r="G55" s="15">
        <v>3276</v>
      </c>
    </row>
    <row r="56" spans="1:7" x14ac:dyDescent="0.2">
      <c r="A56" s="5"/>
      <c r="B56" s="5"/>
      <c r="C56" s="5"/>
      <c r="D56" s="5"/>
      <c r="E56" s="5"/>
      <c r="F56" s="5"/>
      <c r="G56" s="5"/>
    </row>
    <row r="57" spans="1:7" x14ac:dyDescent="0.2">
      <c r="A57" s="5" t="s">
        <v>491</v>
      </c>
      <c r="B57" s="15">
        <v>2432</v>
      </c>
      <c r="C57" s="15">
        <v>2658</v>
      </c>
      <c r="D57" s="15">
        <v>8343</v>
      </c>
      <c r="E57" s="15">
        <v>7049</v>
      </c>
      <c r="F57" s="15">
        <v>7005</v>
      </c>
      <c r="G57" s="15">
        <v>6739</v>
      </c>
    </row>
    <row r="58" spans="1:7" x14ac:dyDescent="0.2">
      <c r="A58" s="5" t="s">
        <v>492</v>
      </c>
      <c r="B58" s="15">
        <v>1448</v>
      </c>
      <c r="C58" s="15">
        <v>1607</v>
      </c>
      <c r="D58" s="15">
        <v>383</v>
      </c>
      <c r="E58" s="15">
        <v>164</v>
      </c>
      <c r="F58" s="15">
        <v>31</v>
      </c>
      <c r="G58" s="15">
        <v>13</v>
      </c>
    </row>
    <row r="59" spans="1:7" x14ac:dyDescent="0.2">
      <c r="A59" s="5" t="s">
        <v>493</v>
      </c>
      <c r="B59" s="15">
        <v>7711</v>
      </c>
      <c r="C59" s="15">
        <v>5744</v>
      </c>
      <c r="D59" s="15">
        <v>5296</v>
      </c>
      <c r="E59" s="15">
        <v>5863</v>
      </c>
      <c r="F59" s="15">
        <v>235</v>
      </c>
      <c r="G59" s="15">
        <v>204</v>
      </c>
    </row>
    <row r="60" spans="1:7" x14ac:dyDescent="0.2">
      <c r="A60" s="5" t="s">
        <v>494</v>
      </c>
      <c r="B60" s="15">
        <v>11591</v>
      </c>
      <c r="C60" s="15">
        <v>10009</v>
      </c>
      <c r="D60" s="15">
        <v>14022</v>
      </c>
      <c r="E60" s="15">
        <v>13076</v>
      </c>
      <c r="F60" s="15">
        <v>7271</v>
      </c>
      <c r="G60" s="15">
        <v>6956</v>
      </c>
    </row>
    <row r="61" spans="1:7" x14ac:dyDescent="0.2">
      <c r="A61" s="5" t="s">
        <v>495</v>
      </c>
      <c r="B61" s="15">
        <v>-100</v>
      </c>
      <c r="C61" s="15">
        <v>-367</v>
      </c>
      <c r="D61" s="15">
        <v>28</v>
      </c>
      <c r="E61" s="15">
        <v>-70</v>
      </c>
      <c r="F61" s="15">
        <v>-71</v>
      </c>
      <c r="G61" s="15">
        <v>-9</v>
      </c>
    </row>
    <row r="62" spans="1:7" x14ac:dyDescent="0.2">
      <c r="A62" s="5"/>
      <c r="B62" s="5"/>
      <c r="C62" s="5"/>
      <c r="D62" s="5"/>
      <c r="E62" s="5"/>
      <c r="F62" s="5"/>
      <c r="G62" s="5"/>
    </row>
    <row r="63" spans="1:7" x14ac:dyDescent="0.2">
      <c r="A63" s="5"/>
      <c r="B63" s="5" t="s">
        <v>37</v>
      </c>
      <c r="C63" s="5" t="s">
        <v>37</v>
      </c>
      <c r="D63" s="5" t="s">
        <v>37</v>
      </c>
      <c r="E63" s="5" t="s">
        <v>37</v>
      </c>
      <c r="F63" s="5" t="s">
        <v>37</v>
      </c>
      <c r="G63" s="5" t="s">
        <v>37</v>
      </c>
    </row>
    <row r="64" spans="1:7" x14ac:dyDescent="0.2">
      <c r="A64" s="5" t="s">
        <v>162</v>
      </c>
      <c r="B64" s="22">
        <v>44300</v>
      </c>
      <c r="C64" s="22">
        <v>44678</v>
      </c>
      <c r="D64" s="22">
        <v>45058</v>
      </c>
      <c r="E64" s="22">
        <v>45422</v>
      </c>
      <c r="F64" s="22">
        <v>45779</v>
      </c>
      <c r="G64" s="22">
        <v>45779</v>
      </c>
    </row>
    <row r="65" spans="1:33" ht="102" x14ac:dyDescent="0.2">
      <c r="A65" s="172" t="s">
        <v>73</v>
      </c>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5F5C0-4B59-9343-BBFD-9FFA8B08312A}">
  <dimension ref="A5:HU51"/>
  <sheetViews>
    <sheetView topLeftCell="A8" workbookViewId="0">
      <selection activeCell="A8" sqref="A1:XFD1048576"/>
    </sheetView>
  </sheetViews>
  <sheetFormatPr baseColWidth="10" defaultRowHeight="16" x14ac:dyDescent="0.2"/>
  <cols>
    <col min="1" max="1" width="45.83203125" style="2" customWidth="1"/>
    <col min="2" max="33" width="14.83203125" style="2" customWidth="1"/>
    <col min="34" max="256" width="8.83203125" style="2" customWidth="1"/>
    <col min="257" max="257" width="45.83203125" style="2" customWidth="1"/>
    <col min="258" max="289" width="14.83203125" style="2" customWidth="1"/>
    <col min="290" max="512" width="8.83203125" style="2" customWidth="1"/>
    <col min="513" max="513" width="45.83203125" style="2" customWidth="1"/>
    <col min="514" max="545" width="14.83203125" style="2" customWidth="1"/>
    <col min="546" max="768" width="8.83203125" style="2" customWidth="1"/>
    <col min="769" max="769" width="45.83203125" style="2" customWidth="1"/>
    <col min="770" max="801" width="14.83203125" style="2" customWidth="1"/>
    <col min="802" max="1024" width="8.83203125" style="2" customWidth="1"/>
    <col min="1025" max="1025" width="45.83203125" style="2" customWidth="1"/>
    <col min="1026" max="1057" width="14.83203125" style="2" customWidth="1"/>
    <col min="1058" max="1280" width="8.83203125" style="2" customWidth="1"/>
    <col min="1281" max="1281" width="45.83203125" style="2" customWidth="1"/>
    <col min="1282" max="1313" width="14.83203125" style="2" customWidth="1"/>
    <col min="1314" max="1536" width="8.83203125" style="2" customWidth="1"/>
    <col min="1537" max="1537" width="45.83203125" style="2" customWidth="1"/>
    <col min="1538" max="1569" width="14.83203125" style="2" customWidth="1"/>
    <col min="1570" max="1792" width="8.83203125" style="2" customWidth="1"/>
    <col min="1793" max="1793" width="45.83203125" style="2" customWidth="1"/>
    <col min="1794" max="1825" width="14.83203125" style="2" customWidth="1"/>
    <col min="1826" max="2048" width="8.83203125" style="2" customWidth="1"/>
    <col min="2049" max="2049" width="45.83203125" style="2" customWidth="1"/>
    <col min="2050" max="2081" width="14.83203125" style="2" customWidth="1"/>
    <col min="2082" max="2304" width="8.83203125" style="2" customWidth="1"/>
    <col min="2305" max="2305" width="45.83203125" style="2" customWidth="1"/>
    <col min="2306" max="2337" width="14.83203125" style="2" customWidth="1"/>
    <col min="2338" max="2560" width="8.83203125" style="2" customWidth="1"/>
    <col min="2561" max="2561" width="45.83203125" style="2" customWidth="1"/>
    <col min="2562" max="2593" width="14.83203125" style="2" customWidth="1"/>
    <col min="2594" max="2816" width="8.83203125" style="2" customWidth="1"/>
    <col min="2817" max="2817" width="45.83203125" style="2" customWidth="1"/>
    <col min="2818" max="2849" width="14.83203125" style="2" customWidth="1"/>
    <col min="2850" max="3072" width="8.83203125" style="2" customWidth="1"/>
    <col min="3073" max="3073" width="45.83203125" style="2" customWidth="1"/>
    <col min="3074" max="3105" width="14.83203125" style="2" customWidth="1"/>
    <col min="3106" max="3328" width="8.83203125" style="2" customWidth="1"/>
    <col min="3329" max="3329" width="45.83203125" style="2" customWidth="1"/>
    <col min="3330" max="3361" width="14.83203125" style="2" customWidth="1"/>
    <col min="3362" max="3584" width="8.83203125" style="2" customWidth="1"/>
    <col min="3585" max="3585" width="45.83203125" style="2" customWidth="1"/>
    <col min="3586" max="3617" width="14.83203125" style="2" customWidth="1"/>
    <col min="3618" max="3840" width="8.83203125" style="2" customWidth="1"/>
    <col min="3841" max="3841" width="45.83203125" style="2" customWidth="1"/>
    <col min="3842" max="3873" width="14.83203125" style="2" customWidth="1"/>
    <col min="3874" max="4096" width="8.83203125" style="2" customWidth="1"/>
    <col min="4097" max="4097" width="45.83203125" style="2" customWidth="1"/>
    <col min="4098" max="4129" width="14.83203125" style="2" customWidth="1"/>
    <col min="4130" max="4352" width="8.83203125" style="2" customWidth="1"/>
    <col min="4353" max="4353" width="45.83203125" style="2" customWidth="1"/>
    <col min="4354" max="4385" width="14.83203125" style="2" customWidth="1"/>
    <col min="4386" max="4608" width="8.83203125" style="2" customWidth="1"/>
    <col min="4609" max="4609" width="45.83203125" style="2" customWidth="1"/>
    <col min="4610" max="4641" width="14.83203125" style="2" customWidth="1"/>
    <col min="4642" max="4864" width="8.83203125" style="2" customWidth="1"/>
    <col min="4865" max="4865" width="45.83203125" style="2" customWidth="1"/>
    <col min="4866" max="4897" width="14.83203125" style="2" customWidth="1"/>
    <col min="4898" max="5120" width="8.83203125" style="2" customWidth="1"/>
    <col min="5121" max="5121" width="45.83203125" style="2" customWidth="1"/>
    <col min="5122" max="5153" width="14.83203125" style="2" customWidth="1"/>
    <col min="5154" max="5376" width="8.83203125" style="2" customWidth="1"/>
    <col min="5377" max="5377" width="45.83203125" style="2" customWidth="1"/>
    <col min="5378" max="5409" width="14.83203125" style="2" customWidth="1"/>
    <col min="5410" max="5632" width="8.83203125" style="2" customWidth="1"/>
    <col min="5633" max="5633" width="45.83203125" style="2" customWidth="1"/>
    <col min="5634" max="5665" width="14.83203125" style="2" customWidth="1"/>
    <col min="5666" max="5888" width="8.83203125" style="2" customWidth="1"/>
    <col min="5889" max="5889" width="45.83203125" style="2" customWidth="1"/>
    <col min="5890" max="5921" width="14.83203125" style="2" customWidth="1"/>
    <col min="5922" max="6144" width="8.83203125" style="2" customWidth="1"/>
    <col min="6145" max="6145" width="45.83203125" style="2" customWidth="1"/>
    <col min="6146" max="6177" width="14.83203125" style="2" customWidth="1"/>
    <col min="6178" max="6400" width="8.83203125" style="2" customWidth="1"/>
    <col min="6401" max="6401" width="45.83203125" style="2" customWidth="1"/>
    <col min="6402" max="6433" width="14.83203125" style="2" customWidth="1"/>
    <col min="6434" max="6656" width="8.83203125" style="2" customWidth="1"/>
    <col min="6657" max="6657" width="45.83203125" style="2" customWidth="1"/>
    <col min="6658" max="6689" width="14.83203125" style="2" customWidth="1"/>
    <col min="6690" max="6912" width="8.83203125" style="2" customWidth="1"/>
    <col min="6913" max="6913" width="45.83203125" style="2" customWidth="1"/>
    <col min="6914" max="6945" width="14.83203125" style="2" customWidth="1"/>
    <col min="6946" max="7168" width="8.83203125" style="2" customWidth="1"/>
    <col min="7169" max="7169" width="45.83203125" style="2" customWidth="1"/>
    <col min="7170" max="7201" width="14.83203125" style="2" customWidth="1"/>
    <col min="7202" max="7424" width="8.83203125" style="2" customWidth="1"/>
    <col min="7425" max="7425" width="45.83203125" style="2" customWidth="1"/>
    <col min="7426" max="7457" width="14.83203125" style="2" customWidth="1"/>
    <col min="7458" max="7680" width="8.83203125" style="2" customWidth="1"/>
    <col min="7681" max="7681" width="45.83203125" style="2" customWidth="1"/>
    <col min="7682" max="7713" width="14.83203125" style="2" customWidth="1"/>
    <col min="7714" max="7936" width="8.83203125" style="2" customWidth="1"/>
    <col min="7937" max="7937" width="45.83203125" style="2" customWidth="1"/>
    <col min="7938" max="7969" width="14.83203125" style="2" customWidth="1"/>
    <col min="7970" max="8192" width="8.83203125" style="2" customWidth="1"/>
    <col min="8193" max="8193" width="45.83203125" style="2" customWidth="1"/>
    <col min="8194" max="8225" width="14.83203125" style="2" customWidth="1"/>
    <col min="8226" max="8448" width="8.83203125" style="2" customWidth="1"/>
    <col min="8449" max="8449" width="45.83203125" style="2" customWidth="1"/>
    <col min="8450" max="8481" width="14.83203125" style="2" customWidth="1"/>
    <col min="8482" max="8704" width="8.83203125" style="2" customWidth="1"/>
    <col min="8705" max="8705" width="45.83203125" style="2" customWidth="1"/>
    <col min="8706" max="8737" width="14.83203125" style="2" customWidth="1"/>
    <col min="8738" max="8960" width="8.83203125" style="2" customWidth="1"/>
    <col min="8961" max="8961" width="45.83203125" style="2" customWidth="1"/>
    <col min="8962" max="8993" width="14.83203125" style="2" customWidth="1"/>
    <col min="8994" max="9216" width="8.83203125" style="2" customWidth="1"/>
    <col min="9217" max="9217" width="45.83203125" style="2" customWidth="1"/>
    <col min="9218" max="9249" width="14.83203125" style="2" customWidth="1"/>
    <col min="9250" max="9472" width="8.83203125" style="2" customWidth="1"/>
    <col min="9473" max="9473" width="45.83203125" style="2" customWidth="1"/>
    <col min="9474" max="9505" width="14.83203125" style="2" customWidth="1"/>
    <col min="9506" max="9728" width="8.83203125" style="2" customWidth="1"/>
    <col min="9729" max="9729" width="45.83203125" style="2" customWidth="1"/>
    <col min="9730" max="9761" width="14.83203125" style="2" customWidth="1"/>
    <col min="9762" max="9984" width="8.83203125" style="2" customWidth="1"/>
    <col min="9985" max="9985" width="45.83203125" style="2" customWidth="1"/>
    <col min="9986" max="10017" width="14.83203125" style="2" customWidth="1"/>
    <col min="10018" max="10240" width="8.83203125" style="2" customWidth="1"/>
    <col min="10241" max="10241" width="45.83203125" style="2" customWidth="1"/>
    <col min="10242" max="10273" width="14.83203125" style="2" customWidth="1"/>
    <col min="10274" max="10496" width="8.83203125" style="2" customWidth="1"/>
    <col min="10497" max="10497" width="45.83203125" style="2" customWidth="1"/>
    <col min="10498" max="10529" width="14.83203125" style="2" customWidth="1"/>
    <col min="10530" max="10752" width="8.83203125" style="2" customWidth="1"/>
    <col min="10753" max="10753" width="45.83203125" style="2" customWidth="1"/>
    <col min="10754" max="10785" width="14.83203125" style="2" customWidth="1"/>
    <col min="10786" max="11008" width="8.83203125" style="2" customWidth="1"/>
    <col min="11009" max="11009" width="45.83203125" style="2" customWidth="1"/>
    <col min="11010" max="11041" width="14.83203125" style="2" customWidth="1"/>
    <col min="11042" max="11264" width="8.83203125" style="2" customWidth="1"/>
    <col min="11265" max="11265" width="45.83203125" style="2" customWidth="1"/>
    <col min="11266" max="11297" width="14.83203125" style="2" customWidth="1"/>
    <col min="11298" max="11520" width="8.83203125" style="2" customWidth="1"/>
    <col min="11521" max="11521" width="45.83203125" style="2" customWidth="1"/>
    <col min="11522" max="11553" width="14.83203125" style="2" customWidth="1"/>
    <col min="11554" max="11776" width="8.83203125" style="2" customWidth="1"/>
    <col min="11777" max="11777" width="45.83203125" style="2" customWidth="1"/>
    <col min="11778" max="11809" width="14.83203125" style="2" customWidth="1"/>
    <col min="11810" max="12032" width="8.83203125" style="2" customWidth="1"/>
    <col min="12033" max="12033" width="45.83203125" style="2" customWidth="1"/>
    <col min="12034" max="12065" width="14.83203125" style="2" customWidth="1"/>
    <col min="12066" max="12288" width="8.83203125" style="2" customWidth="1"/>
    <col min="12289" max="12289" width="45.83203125" style="2" customWidth="1"/>
    <col min="12290" max="12321" width="14.83203125" style="2" customWidth="1"/>
    <col min="12322" max="12544" width="8.83203125" style="2" customWidth="1"/>
    <col min="12545" max="12545" width="45.83203125" style="2" customWidth="1"/>
    <col min="12546" max="12577" width="14.83203125" style="2" customWidth="1"/>
    <col min="12578" max="12800" width="8.83203125" style="2" customWidth="1"/>
    <col min="12801" max="12801" width="45.83203125" style="2" customWidth="1"/>
    <col min="12802" max="12833" width="14.83203125" style="2" customWidth="1"/>
    <col min="12834" max="13056" width="8.83203125" style="2" customWidth="1"/>
    <col min="13057" max="13057" width="45.83203125" style="2" customWidth="1"/>
    <col min="13058" max="13089" width="14.83203125" style="2" customWidth="1"/>
    <col min="13090" max="13312" width="8.83203125" style="2" customWidth="1"/>
    <col min="13313" max="13313" width="45.83203125" style="2" customWidth="1"/>
    <col min="13314" max="13345" width="14.83203125" style="2" customWidth="1"/>
    <col min="13346" max="13568" width="8.83203125" style="2" customWidth="1"/>
    <col min="13569" max="13569" width="45.83203125" style="2" customWidth="1"/>
    <col min="13570" max="13601" width="14.83203125" style="2" customWidth="1"/>
    <col min="13602" max="13824" width="8.83203125" style="2" customWidth="1"/>
    <col min="13825" max="13825" width="45.83203125" style="2" customWidth="1"/>
    <col min="13826" max="13857" width="14.83203125" style="2" customWidth="1"/>
    <col min="13858" max="14080" width="8.83203125" style="2" customWidth="1"/>
    <col min="14081" max="14081" width="45.83203125" style="2" customWidth="1"/>
    <col min="14082" max="14113" width="14.83203125" style="2" customWidth="1"/>
    <col min="14114" max="14336" width="8.83203125" style="2" customWidth="1"/>
    <col min="14337" max="14337" width="45.83203125" style="2" customWidth="1"/>
    <col min="14338" max="14369" width="14.83203125" style="2" customWidth="1"/>
    <col min="14370" max="14592" width="8.83203125" style="2" customWidth="1"/>
    <col min="14593" max="14593" width="45.83203125" style="2" customWidth="1"/>
    <col min="14594" max="14625" width="14.83203125" style="2" customWidth="1"/>
    <col min="14626" max="14848" width="8.83203125" style="2" customWidth="1"/>
    <col min="14849" max="14849" width="45.83203125" style="2" customWidth="1"/>
    <col min="14850" max="14881" width="14.83203125" style="2" customWidth="1"/>
    <col min="14882" max="15104" width="8.83203125" style="2" customWidth="1"/>
    <col min="15105" max="15105" width="45.83203125" style="2" customWidth="1"/>
    <col min="15106" max="15137" width="14.83203125" style="2" customWidth="1"/>
    <col min="15138" max="15360" width="8.83203125" style="2" customWidth="1"/>
    <col min="15361" max="15361" width="45.83203125" style="2" customWidth="1"/>
    <col min="15362" max="15393" width="14.83203125" style="2" customWidth="1"/>
    <col min="15394" max="15616" width="8.83203125" style="2" customWidth="1"/>
    <col min="15617" max="15617" width="45.83203125" style="2" customWidth="1"/>
    <col min="15618" max="15649" width="14.83203125" style="2" customWidth="1"/>
    <col min="15650" max="15872" width="8.83203125" style="2" customWidth="1"/>
    <col min="15873" max="15873" width="45.83203125" style="2" customWidth="1"/>
    <col min="15874" max="15905" width="14.83203125" style="2" customWidth="1"/>
    <col min="15906" max="16128" width="8.83203125" style="2" customWidth="1"/>
    <col min="16129" max="16129" width="45.83203125" style="2" customWidth="1"/>
    <col min="16130" max="16161" width="14.83203125" style="2" customWidth="1"/>
    <col min="16162" max="16384" width="8.83203125" style="2" customWidth="1"/>
  </cols>
  <sheetData>
    <row r="5" spans="1:229" x14ac:dyDescent="0.2">
      <c r="A5" s="1" t="s">
        <v>496</v>
      </c>
    </row>
    <row r="7" spans="1:229" ht="34" x14ac:dyDescent="0.2">
      <c r="A7" s="3" t="s">
        <v>75</v>
      </c>
      <c r="B7" s="4" t="s">
        <v>78</v>
      </c>
      <c r="C7" s="2" t="s">
        <v>79</v>
      </c>
      <c r="D7" s="5" t="s">
        <v>4</v>
      </c>
      <c r="E7" s="4" t="s">
        <v>80</v>
      </c>
      <c r="F7" s="2" t="s">
        <v>81</v>
      </c>
    </row>
    <row r="8" spans="1:229" x14ac:dyDescent="0.2">
      <c r="A8" s="5"/>
      <c r="B8" s="4" t="s">
        <v>2</v>
      </c>
      <c r="C8" s="2" t="s">
        <v>82</v>
      </c>
      <c r="D8" s="5" t="s">
        <v>4</v>
      </c>
      <c r="E8" s="4" t="s">
        <v>5</v>
      </c>
      <c r="F8" s="2" t="s">
        <v>6</v>
      </c>
    </row>
    <row r="9" spans="1:229" x14ac:dyDescent="0.2">
      <c r="A9" s="5"/>
      <c r="B9" s="4" t="s">
        <v>7</v>
      </c>
      <c r="C9" s="2" t="s">
        <v>8</v>
      </c>
      <c r="D9" s="5" t="s">
        <v>4</v>
      </c>
      <c r="E9" s="4" t="s">
        <v>9</v>
      </c>
      <c r="F9" s="2" t="s">
        <v>10</v>
      </c>
    </row>
    <row r="10" spans="1:229" x14ac:dyDescent="0.2">
      <c r="A10" s="5"/>
      <c r="B10" s="4" t="s">
        <v>11</v>
      </c>
      <c r="C10" s="6" t="s">
        <v>12</v>
      </c>
      <c r="D10" s="5" t="s">
        <v>4</v>
      </c>
      <c r="E10" s="4" t="s">
        <v>83</v>
      </c>
      <c r="F10" s="2" t="s">
        <v>84</v>
      </c>
    </row>
    <row r="13" spans="1:229" x14ac:dyDescent="0.2">
      <c r="A13" s="8" t="s">
        <v>497</v>
      </c>
      <c r="B13" s="8"/>
      <c r="C13" s="8"/>
      <c r="D13" s="8"/>
      <c r="E13" s="8"/>
      <c r="F13" s="8"/>
      <c r="G13" s="8"/>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9"/>
      <c r="GM13" s="9"/>
      <c r="GN13" s="9"/>
      <c r="GO13" s="9"/>
      <c r="GP13" s="9"/>
      <c r="GQ13" s="9"/>
      <c r="GR13" s="9"/>
      <c r="GS13" s="9"/>
      <c r="GT13" s="9"/>
      <c r="GU13" s="9"/>
      <c r="GV13" s="9"/>
      <c r="GW13" s="9"/>
      <c r="GX13" s="9"/>
      <c r="GY13" s="9"/>
      <c r="GZ13" s="9"/>
      <c r="HA13" s="9"/>
      <c r="HB13" s="9"/>
      <c r="HC13" s="9"/>
      <c r="HD13" s="9"/>
      <c r="HE13" s="9"/>
      <c r="HF13" s="9"/>
      <c r="HG13" s="9"/>
      <c r="HH13" s="9"/>
      <c r="HI13" s="9"/>
      <c r="HJ13" s="9"/>
      <c r="HK13" s="9"/>
      <c r="HL13" s="9"/>
      <c r="HM13" s="9"/>
      <c r="HN13" s="9"/>
      <c r="HO13" s="9"/>
      <c r="HP13" s="9"/>
      <c r="HQ13" s="9"/>
      <c r="HR13" s="9"/>
      <c r="HS13" s="9"/>
      <c r="HT13" s="9"/>
      <c r="HU13" s="9"/>
    </row>
    <row r="14" spans="1:229" ht="34" x14ac:dyDescent="0.2">
      <c r="A14" s="10" t="s">
        <v>16</v>
      </c>
      <c r="B14" s="11" t="s">
        <v>395</v>
      </c>
      <c r="C14" s="11" t="s">
        <v>396</v>
      </c>
      <c r="D14" s="11" t="s">
        <v>275</v>
      </c>
      <c r="E14" s="11" t="s">
        <v>397</v>
      </c>
      <c r="F14" s="11" t="s">
        <v>276</v>
      </c>
      <c r="G14" s="11" t="s">
        <v>91</v>
      </c>
    </row>
    <row r="15" spans="1:229" ht="17" x14ac:dyDescent="0.2">
      <c r="A15" s="12" t="s">
        <v>23</v>
      </c>
      <c r="B15" s="13" t="s">
        <v>24</v>
      </c>
      <c r="C15" s="13" t="s">
        <v>24</v>
      </c>
      <c r="D15" s="13" t="s">
        <v>24</v>
      </c>
      <c r="E15" s="13" t="s">
        <v>24</v>
      </c>
      <c r="F15" s="13" t="s">
        <v>24</v>
      </c>
      <c r="G15" s="13" t="s">
        <v>24</v>
      </c>
    </row>
    <row r="16" spans="1:229" x14ac:dyDescent="0.2">
      <c r="A16" s="14" t="s">
        <v>498</v>
      </c>
      <c r="B16" s="5"/>
      <c r="C16" s="5"/>
      <c r="D16" s="5"/>
      <c r="E16" s="5"/>
      <c r="F16" s="5"/>
      <c r="G16" s="5"/>
    </row>
    <row r="17" spans="1:7" ht="17" x14ac:dyDescent="0.2">
      <c r="A17" s="5" t="s">
        <v>499</v>
      </c>
      <c r="B17" s="50" t="s">
        <v>52</v>
      </c>
      <c r="C17" s="50" t="s">
        <v>52</v>
      </c>
      <c r="D17" s="50" t="s">
        <v>52</v>
      </c>
      <c r="E17" s="50" t="s">
        <v>52</v>
      </c>
      <c r="F17" s="50" t="s">
        <v>52</v>
      </c>
      <c r="G17" s="50">
        <v>4942</v>
      </c>
    </row>
    <row r="18" spans="1:7" ht="17" x14ac:dyDescent="0.2">
      <c r="A18" s="5" t="s">
        <v>500</v>
      </c>
      <c r="B18" s="50" t="s">
        <v>52</v>
      </c>
      <c r="C18" s="50" t="s">
        <v>52</v>
      </c>
      <c r="D18" s="50" t="s">
        <v>52</v>
      </c>
      <c r="E18" s="50" t="s">
        <v>52</v>
      </c>
      <c r="F18" s="50" t="s">
        <v>52</v>
      </c>
      <c r="G18" s="50">
        <v>145</v>
      </c>
    </row>
    <row r="19" spans="1:7" ht="17" x14ac:dyDescent="0.2">
      <c r="A19" s="5" t="s">
        <v>501</v>
      </c>
      <c r="B19" s="50" t="s">
        <v>52</v>
      </c>
      <c r="C19" s="50" t="s">
        <v>52</v>
      </c>
      <c r="D19" s="50" t="s">
        <v>52</v>
      </c>
      <c r="E19" s="50" t="s">
        <v>52</v>
      </c>
      <c r="F19" s="50" t="s">
        <v>52</v>
      </c>
      <c r="G19" s="50">
        <v>47</v>
      </c>
    </row>
    <row r="20" spans="1:7" ht="17" x14ac:dyDescent="0.2">
      <c r="A20" s="5" t="s">
        <v>502</v>
      </c>
      <c r="B20" s="50" t="s">
        <v>52</v>
      </c>
      <c r="C20" s="50" t="s">
        <v>52</v>
      </c>
      <c r="D20" s="50" t="s">
        <v>52</v>
      </c>
      <c r="E20" s="50">
        <v>4859</v>
      </c>
      <c r="F20" s="50">
        <v>4942</v>
      </c>
      <c r="G20" s="50">
        <v>5040</v>
      </c>
    </row>
    <row r="21" spans="1:7" x14ac:dyDescent="0.2">
      <c r="A21" s="5"/>
      <c r="B21" s="5"/>
      <c r="C21" s="5"/>
      <c r="D21" s="5"/>
      <c r="E21" s="5"/>
      <c r="F21" s="5"/>
      <c r="G21" s="5"/>
    </row>
    <row r="22" spans="1:7" ht="17" x14ac:dyDescent="0.2">
      <c r="A22" s="5" t="s">
        <v>503</v>
      </c>
      <c r="B22" s="23" t="s">
        <v>52</v>
      </c>
      <c r="C22" s="23" t="s">
        <v>52</v>
      </c>
      <c r="D22" s="23" t="s">
        <v>52</v>
      </c>
      <c r="E22" s="23" t="s">
        <v>52</v>
      </c>
      <c r="F22" s="20">
        <v>6.8000000000000005E-2</v>
      </c>
      <c r="G22" s="20">
        <v>3.1E-2</v>
      </c>
    </row>
    <row r="23" spans="1:7" x14ac:dyDescent="0.2">
      <c r="A23" s="5"/>
      <c r="B23" s="5"/>
      <c r="C23" s="5"/>
      <c r="D23" s="5"/>
      <c r="E23" s="5"/>
      <c r="F23" s="5"/>
      <c r="G23" s="5"/>
    </row>
    <row r="24" spans="1:7" x14ac:dyDescent="0.2">
      <c r="A24" s="5" t="s">
        <v>504</v>
      </c>
      <c r="B24" s="20">
        <v>4.3999999999999997E-2</v>
      </c>
      <c r="C24" s="20">
        <v>3.1E-2</v>
      </c>
      <c r="D24" s="20">
        <v>4.5999999999999999E-2</v>
      </c>
      <c r="E24" s="20">
        <v>0.04</v>
      </c>
      <c r="F24" s="20">
        <v>4.1000000000000002E-2</v>
      </c>
      <c r="G24" s="20">
        <v>4.4999999999999998E-2</v>
      </c>
    </row>
    <row r="25" spans="1:7" x14ac:dyDescent="0.2">
      <c r="A25" s="5"/>
      <c r="B25" s="5"/>
      <c r="C25" s="5"/>
      <c r="D25" s="5"/>
      <c r="E25" s="5"/>
      <c r="F25" s="5"/>
      <c r="G25" s="5"/>
    </row>
    <row r="26" spans="1:7" x14ac:dyDescent="0.2">
      <c r="A26" s="5" t="s">
        <v>505</v>
      </c>
      <c r="B26" s="15">
        <v>49720</v>
      </c>
      <c r="C26" s="15">
        <v>52710</v>
      </c>
      <c r="D26" s="15">
        <v>53846</v>
      </c>
      <c r="E26" s="15">
        <v>56550</v>
      </c>
      <c r="F26" s="15">
        <v>61477</v>
      </c>
      <c r="G26" s="15">
        <v>63636</v>
      </c>
    </row>
    <row r="27" spans="1:7" ht="17" x14ac:dyDescent="0.2">
      <c r="A27" s="5" t="s">
        <v>506</v>
      </c>
      <c r="B27" s="15" t="s">
        <v>52</v>
      </c>
      <c r="C27" s="15" t="s">
        <v>52</v>
      </c>
      <c r="D27" s="15" t="s">
        <v>52</v>
      </c>
      <c r="E27" s="15" t="s">
        <v>52</v>
      </c>
      <c r="F27" s="15" t="s">
        <v>52</v>
      </c>
      <c r="G27" s="15" t="s">
        <v>52</v>
      </c>
    </row>
    <row r="28" spans="1:7" x14ac:dyDescent="0.2">
      <c r="A28" s="5"/>
      <c r="B28" s="5"/>
      <c r="C28" s="5"/>
      <c r="D28" s="5"/>
      <c r="E28" s="5"/>
      <c r="F28" s="5"/>
      <c r="G28" s="5"/>
    </row>
    <row r="29" spans="1:7" ht="17" x14ac:dyDescent="0.2">
      <c r="A29" s="5" t="s">
        <v>507</v>
      </c>
      <c r="B29" s="50" t="s">
        <v>52</v>
      </c>
      <c r="C29" s="50" t="s">
        <v>52</v>
      </c>
      <c r="D29" s="50" t="s">
        <v>52</v>
      </c>
      <c r="E29" s="50">
        <v>63835000</v>
      </c>
      <c r="F29" s="50">
        <v>63426000</v>
      </c>
      <c r="G29" s="50">
        <v>63343000</v>
      </c>
    </row>
    <row r="30" spans="1:7" x14ac:dyDescent="0.2">
      <c r="A30" s="5"/>
      <c r="B30" s="5"/>
      <c r="C30" s="5"/>
      <c r="D30" s="5"/>
      <c r="E30" s="5"/>
      <c r="F30" s="5"/>
      <c r="G30" s="5"/>
    </row>
    <row r="31" spans="1:7" x14ac:dyDescent="0.2">
      <c r="A31" s="14" t="s">
        <v>508</v>
      </c>
      <c r="B31" s="5"/>
      <c r="C31" s="5"/>
      <c r="D31" s="5"/>
      <c r="E31" s="5"/>
      <c r="F31" s="5"/>
      <c r="G31" s="5"/>
    </row>
    <row r="32" spans="1:7" ht="17" x14ac:dyDescent="0.2">
      <c r="A32" s="5" t="s">
        <v>509</v>
      </c>
      <c r="B32" s="50" t="s">
        <v>52</v>
      </c>
      <c r="C32" s="50" t="s">
        <v>52</v>
      </c>
      <c r="D32" s="50" t="s">
        <v>52</v>
      </c>
      <c r="E32" s="50" t="s">
        <v>52</v>
      </c>
      <c r="F32" s="50" t="s">
        <v>52</v>
      </c>
      <c r="G32" s="50">
        <v>4506</v>
      </c>
    </row>
    <row r="33" spans="1:7" ht="17" x14ac:dyDescent="0.2">
      <c r="A33" s="5" t="s">
        <v>510</v>
      </c>
      <c r="B33" s="50" t="s">
        <v>52</v>
      </c>
      <c r="C33" s="50" t="s">
        <v>52</v>
      </c>
      <c r="D33" s="50" t="s">
        <v>52</v>
      </c>
      <c r="E33" s="50" t="s">
        <v>52</v>
      </c>
      <c r="F33" s="50" t="s">
        <v>52</v>
      </c>
      <c r="G33" s="50">
        <v>90</v>
      </c>
    </row>
    <row r="34" spans="1:7" ht="17" x14ac:dyDescent="0.2">
      <c r="A34" s="5" t="s">
        <v>511</v>
      </c>
      <c r="B34" s="50" t="s">
        <v>52</v>
      </c>
      <c r="C34" s="50" t="s">
        <v>52</v>
      </c>
      <c r="D34" s="50" t="s">
        <v>52</v>
      </c>
      <c r="E34" s="50" t="s">
        <v>52</v>
      </c>
      <c r="F34" s="50" t="s">
        <v>52</v>
      </c>
      <c r="G34" s="50">
        <v>24</v>
      </c>
    </row>
    <row r="35" spans="1:7" ht="17" x14ac:dyDescent="0.2">
      <c r="A35" s="5" t="s">
        <v>512</v>
      </c>
      <c r="B35" s="50" t="s">
        <v>52</v>
      </c>
      <c r="C35" s="50" t="s">
        <v>52</v>
      </c>
      <c r="D35" s="50" t="s">
        <v>52</v>
      </c>
      <c r="E35" s="50" t="s">
        <v>52</v>
      </c>
      <c r="F35" s="50" t="s">
        <v>52</v>
      </c>
      <c r="G35" s="50">
        <v>4572</v>
      </c>
    </row>
    <row r="36" spans="1:7" x14ac:dyDescent="0.2">
      <c r="A36" s="5"/>
      <c r="B36" s="5"/>
      <c r="C36" s="5"/>
      <c r="D36" s="5"/>
      <c r="E36" s="5"/>
      <c r="F36" s="5"/>
      <c r="G36" s="5"/>
    </row>
    <row r="37" spans="1:7" ht="17" x14ac:dyDescent="0.2">
      <c r="A37" s="5" t="s">
        <v>513</v>
      </c>
      <c r="B37" s="23" t="s">
        <v>52</v>
      </c>
      <c r="C37" s="23" t="s">
        <v>52</v>
      </c>
      <c r="D37" s="23" t="s">
        <v>52</v>
      </c>
      <c r="E37" s="23" t="s">
        <v>52</v>
      </c>
      <c r="F37" s="23" t="s">
        <v>52</v>
      </c>
      <c r="G37" s="23" t="s">
        <v>52</v>
      </c>
    </row>
    <row r="38" spans="1:7" x14ac:dyDescent="0.2">
      <c r="A38" s="5"/>
      <c r="B38" s="5"/>
      <c r="C38" s="5"/>
      <c r="D38" s="5"/>
      <c r="E38" s="5"/>
      <c r="F38" s="5"/>
      <c r="G38" s="5"/>
    </row>
    <row r="39" spans="1:7" x14ac:dyDescent="0.2">
      <c r="A39" s="14" t="s">
        <v>514</v>
      </c>
      <c r="B39" s="5"/>
      <c r="C39" s="5"/>
      <c r="D39" s="5"/>
      <c r="E39" s="5"/>
      <c r="F39" s="5"/>
      <c r="G39" s="5"/>
    </row>
    <row r="40" spans="1:7" ht="17" x14ac:dyDescent="0.2">
      <c r="A40" s="5" t="s">
        <v>515</v>
      </c>
      <c r="B40" s="50" t="s">
        <v>52</v>
      </c>
      <c r="C40" s="50" t="s">
        <v>52</v>
      </c>
      <c r="D40" s="50" t="s">
        <v>52</v>
      </c>
      <c r="E40" s="50" t="s">
        <v>52</v>
      </c>
      <c r="F40" s="50" t="s">
        <v>52</v>
      </c>
      <c r="G40" s="50">
        <v>436</v>
      </c>
    </row>
    <row r="41" spans="1:7" ht="17" x14ac:dyDescent="0.2">
      <c r="A41" s="5" t="s">
        <v>516</v>
      </c>
      <c r="B41" s="50" t="s">
        <v>52</v>
      </c>
      <c r="C41" s="50" t="s">
        <v>52</v>
      </c>
      <c r="D41" s="50" t="s">
        <v>52</v>
      </c>
      <c r="E41" s="50" t="s">
        <v>52</v>
      </c>
      <c r="F41" s="50" t="s">
        <v>52</v>
      </c>
      <c r="G41" s="50">
        <v>55</v>
      </c>
    </row>
    <row r="42" spans="1:7" ht="17" x14ac:dyDescent="0.2">
      <c r="A42" s="5" t="s">
        <v>517</v>
      </c>
      <c r="B42" s="50" t="s">
        <v>52</v>
      </c>
      <c r="C42" s="50" t="s">
        <v>52</v>
      </c>
      <c r="D42" s="50" t="s">
        <v>52</v>
      </c>
      <c r="E42" s="50" t="s">
        <v>52</v>
      </c>
      <c r="F42" s="50" t="s">
        <v>52</v>
      </c>
      <c r="G42" s="50">
        <v>23</v>
      </c>
    </row>
    <row r="43" spans="1:7" ht="17" x14ac:dyDescent="0.2">
      <c r="A43" s="5" t="s">
        <v>518</v>
      </c>
      <c r="B43" s="50" t="s">
        <v>52</v>
      </c>
      <c r="C43" s="50" t="s">
        <v>52</v>
      </c>
      <c r="D43" s="50" t="s">
        <v>52</v>
      </c>
      <c r="E43" s="50" t="s">
        <v>52</v>
      </c>
      <c r="F43" s="50" t="s">
        <v>52</v>
      </c>
      <c r="G43" s="50">
        <v>468</v>
      </c>
    </row>
    <row r="44" spans="1:7" x14ac:dyDescent="0.2">
      <c r="A44" s="5"/>
      <c r="B44" s="5"/>
      <c r="C44" s="5"/>
      <c r="D44" s="5"/>
      <c r="E44" s="5"/>
      <c r="F44" s="5"/>
      <c r="G44" s="5"/>
    </row>
    <row r="45" spans="1:7" x14ac:dyDescent="0.2">
      <c r="A45" s="14" t="s">
        <v>519</v>
      </c>
      <c r="B45" s="5"/>
      <c r="C45" s="5"/>
      <c r="D45" s="5"/>
      <c r="E45" s="5"/>
      <c r="F45" s="5"/>
      <c r="G45" s="5"/>
    </row>
    <row r="46" spans="1:7" ht="17" x14ac:dyDescent="0.2">
      <c r="A46" s="5" t="s">
        <v>520</v>
      </c>
      <c r="B46" s="50" t="s">
        <v>52</v>
      </c>
      <c r="C46" s="50" t="s">
        <v>52</v>
      </c>
      <c r="D46" s="50" t="s">
        <v>52</v>
      </c>
      <c r="E46" s="50" t="s">
        <v>52</v>
      </c>
      <c r="F46" s="50" t="s">
        <v>52</v>
      </c>
      <c r="G46" s="50" t="s">
        <v>52</v>
      </c>
    </row>
    <row r="47" spans="1:7" ht="17" x14ac:dyDescent="0.2">
      <c r="A47" s="5" t="s">
        <v>521</v>
      </c>
      <c r="B47" s="50" t="s">
        <v>52</v>
      </c>
      <c r="C47" s="50" t="s">
        <v>52</v>
      </c>
      <c r="D47" s="50" t="s">
        <v>52</v>
      </c>
      <c r="E47" s="50" t="s">
        <v>52</v>
      </c>
      <c r="F47" s="50" t="s">
        <v>52</v>
      </c>
      <c r="G47" s="50" t="s">
        <v>52</v>
      </c>
    </row>
    <row r="48" spans="1:7" x14ac:dyDescent="0.2">
      <c r="A48" s="5"/>
      <c r="B48" s="5"/>
      <c r="C48" s="5"/>
      <c r="D48" s="5"/>
      <c r="E48" s="5"/>
      <c r="F48" s="5"/>
      <c r="G48" s="5"/>
    </row>
    <row r="49" spans="1:33" x14ac:dyDescent="0.2">
      <c r="A49" s="5"/>
      <c r="B49" s="5" t="s">
        <v>37</v>
      </c>
      <c r="C49" s="5" t="s">
        <v>37</v>
      </c>
      <c r="D49" s="5" t="s">
        <v>37</v>
      </c>
      <c r="E49" s="5" t="s">
        <v>37</v>
      </c>
      <c r="F49" s="5" t="s">
        <v>37</v>
      </c>
      <c r="G49" s="5" t="s">
        <v>37</v>
      </c>
    </row>
    <row r="50" spans="1:33" x14ac:dyDescent="0.2">
      <c r="A50" s="5" t="s">
        <v>162</v>
      </c>
      <c r="B50" s="22">
        <v>44300</v>
      </c>
      <c r="C50" s="22">
        <v>44678</v>
      </c>
      <c r="D50" s="22">
        <v>45058</v>
      </c>
      <c r="E50" s="22">
        <v>45422</v>
      </c>
      <c r="F50" s="22">
        <v>45779</v>
      </c>
      <c r="G50" s="22">
        <v>45779</v>
      </c>
    </row>
    <row r="51" spans="1:33" ht="102" x14ac:dyDescent="0.2">
      <c r="A51" s="172" t="s">
        <v>73</v>
      </c>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DA4AA-96D0-EA44-80C8-5D5713734349}">
  <dimension ref="A2:HO131"/>
  <sheetViews>
    <sheetView topLeftCell="C83" zoomScale="126" zoomScaleNormal="126" workbookViewId="0">
      <selection activeCell="F92" sqref="F92"/>
    </sheetView>
  </sheetViews>
  <sheetFormatPr baseColWidth="10" defaultRowHeight="16" x14ac:dyDescent="0.2"/>
  <cols>
    <col min="1" max="1" width="45.83203125" style="2" customWidth="1"/>
    <col min="2" max="38" width="14.83203125" style="2" customWidth="1"/>
    <col min="39" max="256" width="8.83203125" style="2" customWidth="1"/>
    <col min="257" max="257" width="45.83203125" style="2" customWidth="1"/>
    <col min="258" max="294" width="14.83203125" style="2" customWidth="1"/>
    <col min="295" max="512" width="8.83203125" style="2" customWidth="1"/>
    <col min="513" max="513" width="45.83203125" style="2" customWidth="1"/>
    <col min="514" max="550" width="14.83203125" style="2" customWidth="1"/>
    <col min="551" max="768" width="8.83203125" style="2" customWidth="1"/>
    <col min="769" max="769" width="45.83203125" style="2" customWidth="1"/>
    <col min="770" max="806" width="14.83203125" style="2" customWidth="1"/>
    <col min="807" max="1024" width="8.83203125" style="2" customWidth="1"/>
    <col min="1025" max="1025" width="45.83203125" style="2" customWidth="1"/>
    <col min="1026" max="1062" width="14.83203125" style="2" customWidth="1"/>
    <col min="1063" max="1280" width="8.83203125" style="2" customWidth="1"/>
    <col min="1281" max="1281" width="45.83203125" style="2" customWidth="1"/>
    <col min="1282" max="1318" width="14.83203125" style="2" customWidth="1"/>
    <col min="1319" max="1536" width="8.83203125" style="2" customWidth="1"/>
    <col min="1537" max="1537" width="45.83203125" style="2" customWidth="1"/>
    <col min="1538" max="1574" width="14.83203125" style="2" customWidth="1"/>
    <col min="1575" max="1792" width="8.83203125" style="2" customWidth="1"/>
    <col min="1793" max="1793" width="45.83203125" style="2" customWidth="1"/>
    <col min="1794" max="1830" width="14.83203125" style="2" customWidth="1"/>
    <col min="1831" max="2048" width="8.83203125" style="2" customWidth="1"/>
    <col min="2049" max="2049" width="45.83203125" style="2" customWidth="1"/>
    <col min="2050" max="2086" width="14.83203125" style="2" customWidth="1"/>
    <col min="2087" max="2304" width="8.83203125" style="2" customWidth="1"/>
    <col min="2305" max="2305" width="45.83203125" style="2" customWidth="1"/>
    <col min="2306" max="2342" width="14.83203125" style="2" customWidth="1"/>
    <col min="2343" max="2560" width="8.83203125" style="2" customWidth="1"/>
    <col min="2561" max="2561" width="45.83203125" style="2" customWidth="1"/>
    <col min="2562" max="2598" width="14.83203125" style="2" customWidth="1"/>
    <col min="2599" max="2816" width="8.83203125" style="2" customWidth="1"/>
    <col min="2817" max="2817" width="45.83203125" style="2" customWidth="1"/>
    <col min="2818" max="2854" width="14.83203125" style="2" customWidth="1"/>
    <col min="2855" max="3072" width="8.83203125" style="2" customWidth="1"/>
    <col min="3073" max="3073" width="45.83203125" style="2" customWidth="1"/>
    <col min="3074" max="3110" width="14.83203125" style="2" customWidth="1"/>
    <col min="3111" max="3328" width="8.83203125" style="2" customWidth="1"/>
    <col min="3329" max="3329" width="45.83203125" style="2" customWidth="1"/>
    <col min="3330" max="3366" width="14.83203125" style="2" customWidth="1"/>
    <col min="3367" max="3584" width="8.83203125" style="2" customWidth="1"/>
    <col min="3585" max="3585" width="45.83203125" style="2" customWidth="1"/>
    <col min="3586" max="3622" width="14.83203125" style="2" customWidth="1"/>
    <col min="3623" max="3840" width="8.83203125" style="2" customWidth="1"/>
    <col min="3841" max="3841" width="45.83203125" style="2" customWidth="1"/>
    <col min="3842" max="3878" width="14.83203125" style="2" customWidth="1"/>
    <col min="3879" max="4096" width="8.83203125" style="2" customWidth="1"/>
    <col min="4097" max="4097" width="45.83203125" style="2" customWidth="1"/>
    <col min="4098" max="4134" width="14.83203125" style="2" customWidth="1"/>
    <col min="4135" max="4352" width="8.83203125" style="2" customWidth="1"/>
    <col min="4353" max="4353" width="45.83203125" style="2" customWidth="1"/>
    <col min="4354" max="4390" width="14.83203125" style="2" customWidth="1"/>
    <col min="4391" max="4608" width="8.83203125" style="2" customWidth="1"/>
    <col min="4609" max="4609" width="45.83203125" style="2" customWidth="1"/>
    <col min="4610" max="4646" width="14.83203125" style="2" customWidth="1"/>
    <col min="4647" max="4864" width="8.83203125" style="2" customWidth="1"/>
    <col min="4865" max="4865" width="45.83203125" style="2" customWidth="1"/>
    <col min="4866" max="4902" width="14.83203125" style="2" customWidth="1"/>
    <col min="4903" max="5120" width="8.83203125" style="2" customWidth="1"/>
    <col min="5121" max="5121" width="45.83203125" style="2" customWidth="1"/>
    <col min="5122" max="5158" width="14.83203125" style="2" customWidth="1"/>
    <col min="5159" max="5376" width="8.83203125" style="2" customWidth="1"/>
    <col min="5377" max="5377" width="45.83203125" style="2" customWidth="1"/>
    <col min="5378" max="5414" width="14.83203125" style="2" customWidth="1"/>
    <col min="5415" max="5632" width="8.83203125" style="2" customWidth="1"/>
    <col min="5633" max="5633" width="45.83203125" style="2" customWidth="1"/>
    <col min="5634" max="5670" width="14.83203125" style="2" customWidth="1"/>
    <col min="5671" max="5888" width="8.83203125" style="2" customWidth="1"/>
    <col min="5889" max="5889" width="45.83203125" style="2" customWidth="1"/>
    <col min="5890" max="5926" width="14.83203125" style="2" customWidth="1"/>
    <col min="5927" max="6144" width="8.83203125" style="2" customWidth="1"/>
    <col min="6145" max="6145" width="45.83203125" style="2" customWidth="1"/>
    <col min="6146" max="6182" width="14.83203125" style="2" customWidth="1"/>
    <col min="6183" max="6400" width="8.83203125" style="2" customWidth="1"/>
    <col min="6401" max="6401" width="45.83203125" style="2" customWidth="1"/>
    <col min="6402" max="6438" width="14.83203125" style="2" customWidth="1"/>
    <col min="6439" max="6656" width="8.83203125" style="2" customWidth="1"/>
    <col min="6657" max="6657" width="45.83203125" style="2" customWidth="1"/>
    <col min="6658" max="6694" width="14.83203125" style="2" customWidth="1"/>
    <col min="6695" max="6912" width="8.83203125" style="2" customWidth="1"/>
    <col min="6913" max="6913" width="45.83203125" style="2" customWidth="1"/>
    <col min="6914" max="6950" width="14.83203125" style="2" customWidth="1"/>
    <col min="6951" max="7168" width="8.83203125" style="2" customWidth="1"/>
    <col min="7169" max="7169" width="45.83203125" style="2" customWidth="1"/>
    <col min="7170" max="7206" width="14.83203125" style="2" customWidth="1"/>
    <col min="7207" max="7424" width="8.83203125" style="2" customWidth="1"/>
    <col min="7425" max="7425" width="45.83203125" style="2" customWidth="1"/>
    <col min="7426" max="7462" width="14.83203125" style="2" customWidth="1"/>
    <col min="7463" max="7680" width="8.83203125" style="2" customWidth="1"/>
    <col min="7681" max="7681" width="45.83203125" style="2" customWidth="1"/>
    <col min="7682" max="7718" width="14.83203125" style="2" customWidth="1"/>
    <col min="7719" max="7936" width="8.83203125" style="2" customWidth="1"/>
    <col min="7937" max="7937" width="45.83203125" style="2" customWidth="1"/>
    <col min="7938" max="7974" width="14.83203125" style="2" customWidth="1"/>
    <col min="7975" max="8192" width="8.83203125" style="2" customWidth="1"/>
    <col min="8193" max="8193" width="45.83203125" style="2" customWidth="1"/>
    <col min="8194" max="8230" width="14.83203125" style="2" customWidth="1"/>
    <col min="8231" max="8448" width="8.83203125" style="2" customWidth="1"/>
    <col min="8449" max="8449" width="45.83203125" style="2" customWidth="1"/>
    <col min="8450" max="8486" width="14.83203125" style="2" customWidth="1"/>
    <col min="8487" max="8704" width="8.83203125" style="2" customWidth="1"/>
    <col min="8705" max="8705" width="45.83203125" style="2" customWidth="1"/>
    <col min="8706" max="8742" width="14.83203125" style="2" customWidth="1"/>
    <col min="8743" max="8960" width="8.83203125" style="2" customWidth="1"/>
    <col min="8961" max="8961" width="45.83203125" style="2" customWidth="1"/>
    <col min="8962" max="8998" width="14.83203125" style="2" customWidth="1"/>
    <col min="8999" max="9216" width="8.83203125" style="2" customWidth="1"/>
    <col min="9217" max="9217" width="45.83203125" style="2" customWidth="1"/>
    <col min="9218" max="9254" width="14.83203125" style="2" customWidth="1"/>
    <col min="9255" max="9472" width="8.83203125" style="2" customWidth="1"/>
    <col min="9473" max="9473" width="45.83203125" style="2" customWidth="1"/>
    <col min="9474" max="9510" width="14.83203125" style="2" customWidth="1"/>
    <col min="9511" max="9728" width="8.83203125" style="2" customWidth="1"/>
    <col min="9729" max="9729" width="45.83203125" style="2" customWidth="1"/>
    <col min="9730" max="9766" width="14.83203125" style="2" customWidth="1"/>
    <col min="9767" max="9984" width="8.83203125" style="2" customWidth="1"/>
    <col min="9985" max="9985" width="45.83203125" style="2" customWidth="1"/>
    <col min="9986" max="10022" width="14.83203125" style="2" customWidth="1"/>
    <col min="10023" max="10240" width="8.83203125" style="2" customWidth="1"/>
    <col min="10241" max="10241" width="45.83203125" style="2" customWidth="1"/>
    <col min="10242" max="10278" width="14.83203125" style="2" customWidth="1"/>
    <col min="10279" max="10496" width="8.83203125" style="2" customWidth="1"/>
    <col min="10497" max="10497" width="45.83203125" style="2" customWidth="1"/>
    <col min="10498" max="10534" width="14.83203125" style="2" customWidth="1"/>
    <col min="10535" max="10752" width="8.83203125" style="2" customWidth="1"/>
    <col min="10753" max="10753" width="45.83203125" style="2" customWidth="1"/>
    <col min="10754" max="10790" width="14.83203125" style="2" customWidth="1"/>
    <col min="10791" max="11008" width="8.83203125" style="2" customWidth="1"/>
    <col min="11009" max="11009" width="45.83203125" style="2" customWidth="1"/>
    <col min="11010" max="11046" width="14.83203125" style="2" customWidth="1"/>
    <col min="11047" max="11264" width="8.83203125" style="2" customWidth="1"/>
    <col min="11265" max="11265" width="45.83203125" style="2" customWidth="1"/>
    <col min="11266" max="11302" width="14.83203125" style="2" customWidth="1"/>
    <col min="11303" max="11520" width="8.83203125" style="2" customWidth="1"/>
    <col min="11521" max="11521" width="45.83203125" style="2" customWidth="1"/>
    <col min="11522" max="11558" width="14.83203125" style="2" customWidth="1"/>
    <col min="11559" max="11776" width="8.83203125" style="2" customWidth="1"/>
    <col min="11777" max="11777" width="45.83203125" style="2" customWidth="1"/>
    <col min="11778" max="11814" width="14.83203125" style="2" customWidth="1"/>
    <col min="11815" max="12032" width="8.83203125" style="2" customWidth="1"/>
    <col min="12033" max="12033" width="45.83203125" style="2" customWidth="1"/>
    <col min="12034" max="12070" width="14.83203125" style="2" customWidth="1"/>
    <col min="12071" max="12288" width="8.83203125" style="2" customWidth="1"/>
    <col min="12289" max="12289" width="45.83203125" style="2" customWidth="1"/>
    <col min="12290" max="12326" width="14.83203125" style="2" customWidth="1"/>
    <col min="12327" max="12544" width="8.83203125" style="2" customWidth="1"/>
    <col min="12545" max="12545" width="45.83203125" style="2" customWidth="1"/>
    <col min="12546" max="12582" width="14.83203125" style="2" customWidth="1"/>
    <col min="12583" max="12800" width="8.83203125" style="2" customWidth="1"/>
    <col min="12801" max="12801" width="45.83203125" style="2" customWidth="1"/>
    <col min="12802" max="12838" width="14.83203125" style="2" customWidth="1"/>
    <col min="12839" max="13056" width="8.83203125" style="2" customWidth="1"/>
    <col min="13057" max="13057" width="45.83203125" style="2" customWidth="1"/>
    <col min="13058" max="13094" width="14.83203125" style="2" customWidth="1"/>
    <col min="13095" max="13312" width="8.83203125" style="2" customWidth="1"/>
    <col min="13313" max="13313" width="45.83203125" style="2" customWidth="1"/>
    <col min="13314" max="13350" width="14.83203125" style="2" customWidth="1"/>
    <col min="13351" max="13568" width="8.83203125" style="2" customWidth="1"/>
    <col min="13569" max="13569" width="45.83203125" style="2" customWidth="1"/>
    <col min="13570" max="13606" width="14.83203125" style="2" customWidth="1"/>
    <col min="13607" max="13824" width="8.83203125" style="2" customWidth="1"/>
    <col min="13825" max="13825" width="45.83203125" style="2" customWidth="1"/>
    <col min="13826" max="13862" width="14.83203125" style="2" customWidth="1"/>
    <col min="13863" max="14080" width="8.83203125" style="2" customWidth="1"/>
    <col min="14081" max="14081" width="45.83203125" style="2" customWidth="1"/>
    <col min="14082" max="14118" width="14.83203125" style="2" customWidth="1"/>
    <col min="14119" max="14336" width="8.83203125" style="2" customWidth="1"/>
    <col min="14337" max="14337" width="45.83203125" style="2" customWidth="1"/>
    <col min="14338" max="14374" width="14.83203125" style="2" customWidth="1"/>
    <col min="14375" max="14592" width="8.83203125" style="2" customWidth="1"/>
    <col min="14593" max="14593" width="45.83203125" style="2" customWidth="1"/>
    <col min="14594" max="14630" width="14.83203125" style="2" customWidth="1"/>
    <col min="14631" max="14848" width="8.83203125" style="2" customWidth="1"/>
    <col min="14849" max="14849" width="45.83203125" style="2" customWidth="1"/>
    <col min="14850" max="14886" width="14.83203125" style="2" customWidth="1"/>
    <col min="14887" max="15104" width="8.83203125" style="2" customWidth="1"/>
    <col min="15105" max="15105" width="45.83203125" style="2" customWidth="1"/>
    <col min="15106" max="15142" width="14.83203125" style="2" customWidth="1"/>
    <col min="15143" max="15360" width="8.83203125" style="2" customWidth="1"/>
    <col min="15361" max="15361" width="45.83203125" style="2" customWidth="1"/>
    <col min="15362" max="15398" width="14.83203125" style="2" customWidth="1"/>
    <col min="15399" max="15616" width="8.83203125" style="2" customWidth="1"/>
    <col min="15617" max="15617" width="45.83203125" style="2" customWidth="1"/>
    <col min="15618" max="15654" width="14.83203125" style="2" customWidth="1"/>
    <col min="15655" max="15872" width="8.83203125" style="2" customWidth="1"/>
    <col min="15873" max="15873" width="45.83203125" style="2" customWidth="1"/>
    <col min="15874" max="15910" width="14.83203125" style="2" customWidth="1"/>
    <col min="15911" max="16128" width="8.83203125" style="2" customWidth="1"/>
    <col min="16129" max="16129" width="45.83203125" style="2" customWidth="1"/>
    <col min="16130" max="16166" width="14.83203125" style="2" customWidth="1"/>
    <col min="16167" max="16384" width="8.83203125" style="2" customWidth="1"/>
  </cols>
  <sheetData>
    <row r="2" spans="1:223" x14ac:dyDescent="0.2">
      <c r="B2" s="31" t="s">
        <v>791</v>
      </c>
    </row>
    <row r="5" spans="1:223" x14ac:dyDescent="0.2">
      <c r="A5" s="1" t="s">
        <v>74</v>
      </c>
    </row>
    <row r="7" spans="1:223" ht="34" x14ac:dyDescent="0.2">
      <c r="A7" s="3" t="s">
        <v>75</v>
      </c>
      <c r="B7" s="4" t="s">
        <v>76</v>
      </c>
      <c r="C7" s="2" t="s">
        <v>77</v>
      </c>
      <c r="D7" s="5" t="s">
        <v>4</v>
      </c>
      <c r="E7" s="4" t="s">
        <v>78</v>
      </c>
      <c r="F7" s="2" t="s">
        <v>79</v>
      </c>
    </row>
    <row r="8" spans="1:223" x14ac:dyDescent="0.2">
      <c r="A8" s="5"/>
      <c r="B8" s="4" t="s">
        <v>80</v>
      </c>
      <c r="C8" s="2" t="s">
        <v>81</v>
      </c>
      <c r="D8" s="5" t="s">
        <v>4</v>
      </c>
      <c r="E8" s="4" t="s">
        <v>7</v>
      </c>
      <c r="F8" s="2" t="s">
        <v>8</v>
      </c>
    </row>
    <row r="9" spans="1:223" x14ac:dyDescent="0.2">
      <c r="A9" s="5"/>
      <c r="B9" s="4" t="s">
        <v>2</v>
      </c>
      <c r="C9" s="2" t="s">
        <v>82</v>
      </c>
      <c r="D9" s="5" t="s">
        <v>4</v>
      </c>
      <c r="E9" s="4" t="s">
        <v>5</v>
      </c>
      <c r="F9" s="2" t="s">
        <v>6</v>
      </c>
    </row>
    <row r="10" spans="1:223" x14ac:dyDescent="0.2">
      <c r="A10" s="5"/>
      <c r="B10" s="4" t="s">
        <v>9</v>
      </c>
      <c r="C10" s="2" t="s">
        <v>10</v>
      </c>
      <c r="D10" s="5" t="s">
        <v>4</v>
      </c>
      <c r="E10" s="4" t="s">
        <v>11</v>
      </c>
      <c r="F10" s="6" t="s">
        <v>12</v>
      </c>
    </row>
    <row r="11" spans="1:223" x14ac:dyDescent="0.2">
      <c r="A11" s="5"/>
      <c r="B11" s="4" t="s">
        <v>83</v>
      </c>
      <c r="C11" s="2" t="s">
        <v>84</v>
      </c>
      <c r="D11" s="5" t="s">
        <v>4</v>
      </c>
      <c r="E11" s="7"/>
      <c r="F11" s="7"/>
    </row>
    <row r="14" spans="1:223" x14ac:dyDescent="0.2">
      <c r="A14" s="8" t="s">
        <v>85</v>
      </c>
      <c r="B14" s="8"/>
      <c r="C14" s="8"/>
      <c r="D14" s="8"/>
      <c r="E14" s="8"/>
      <c r="F14" s="8"/>
      <c r="G14" s="8"/>
      <c r="H14" s="173"/>
      <c r="I14" s="173"/>
      <c r="J14" s="173"/>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9"/>
      <c r="FN14" s="9"/>
      <c r="FO14" s="9"/>
      <c r="FP14" s="9"/>
      <c r="FQ14" s="9"/>
      <c r="FR14" s="9"/>
      <c r="FS14" s="9"/>
      <c r="FT14" s="9"/>
      <c r="FU14" s="9"/>
      <c r="FV14" s="9"/>
      <c r="FW14" s="9"/>
      <c r="FX14" s="9"/>
      <c r="FY14" s="9"/>
      <c r="FZ14" s="9"/>
      <c r="GA14" s="9"/>
      <c r="GB14" s="9"/>
      <c r="GC14" s="9"/>
      <c r="GD14" s="9"/>
      <c r="GE14" s="9"/>
      <c r="GF14" s="9"/>
      <c r="GG14" s="9"/>
      <c r="GH14" s="9"/>
      <c r="GI14" s="9"/>
      <c r="GJ14" s="9"/>
      <c r="GK14" s="9"/>
      <c r="GL14" s="9"/>
      <c r="GM14" s="9"/>
      <c r="GN14" s="9"/>
      <c r="GO14" s="9"/>
      <c r="GP14" s="9"/>
      <c r="GQ14" s="9"/>
      <c r="GR14" s="9"/>
      <c r="GS14" s="9"/>
      <c r="GT14" s="9"/>
      <c r="GU14" s="9"/>
      <c r="GV14" s="9"/>
      <c r="GW14" s="9"/>
      <c r="GX14" s="9"/>
      <c r="GY14" s="9"/>
      <c r="GZ14" s="9"/>
      <c r="HA14" s="9"/>
      <c r="HB14" s="9"/>
      <c r="HC14" s="9"/>
      <c r="HD14" s="9"/>
      <c r="HE14" s="9"/>
      <c r="HF14" s="9"/>
      <c r="HG14" s="9"/>
      <c r="HH14" s="9"/>
      <c r="HI14" s="9"/>
      <c r="HJ14" s="9"/>
      <c r="HK14" s="9"/>
      <c r="HL14" s="9"/>
      <c r="HM14" s="9"/>
      <c r="HN14" s="9"/>
      <c r="HO14" s="9"/>
    </row>
    <row r="15" spans="1:223" ht="51" x14ac:dyDescent="0.2">
      <c r="A15" s="10" t="s">
        <v>16</v>
      </c>
      <c r="B15" s="11" t="s">
        <v>86</v>
      </c>
      <c r="C15" s="11" t="s">
        <v>87</v>
      </c>
      <c r="D15" s="11" t="s">
        <v>88</v>
      </c>
      <c r="E15" s="11" t="s">
        <v>89</v>
      </c>
      <c r="F15" s="11" t="s">
        <v>90</v>
      </c>
      <c r="G15" s="11" t="s">
        <v>91</v>
      </c>
      <c r="H15" s="28"/>
      <c r="I15" s="28"/>
      <c r="J15" s="28"/>
    </row>
    <row r="16" spans="1:223" ht="17" x14ac:dyDescent="0.2">
      <c r="A16" s="12" t="s">
        <v>23</v>
      </c>
      <c r="B16" s="13" t="s">
        <v>24</v>
      </c>
      <c r="C16" s="13" t="s">
        <v>24</v>
      </c>
      <c r="D16" s="13" t="s">
        <v>24</v>
      </c>
      <c r="E16" s="13" t="s">
        <v>24</v>
      </c>
      <c r="F16" s="13" t="s">
        <v>24</v>
      </c>
      <c r="G16" s="13" t="s">
        <v>24</v>
      </c>
      <c r="H16" s="29"/>
      <c r="I16" s="29"/>
      <c r="J16" s="29"/>
    </row>
    <row r="17" spans="1:7" x14ac:dyDescent="0.2">
      <c r="A17" s="14" t="s">
        <v>37</v>
      </c>
      <c r="B17" s="5"/>
      <c r="C17" s="5"/>
      <c r="D17" s="5"/>
      <c r="E17" s="5"/>
      <c r="F17" s="5"/>
      <c r="G17" s="5"/>
    </row>
    <row r="18" spans="1:7" x14ac:dyDescent="0.2">
      <c r="A18" s="5" t="s">
        <v>92</v>
      </c>
      <c r="B18" s="15">
        <v>57023</v>
      </c>
      <c r="C18" s="15">
        <v>57152</v>
      </c>
      <c r="D18" s="15">
        <v>60661</v>
      </c>
      <c r="E18" s="15">
        <v>64656</v>
      </c>
      <c r="F18" s="15">
        <v>67673</v>
      </c>
      <c r="G18" s="15">
        <v>69191</v>
      </c>
    </row>
    <row r="19" spans="1:7" x14ac:dyDescent="0.2">
      <c r="A19" s="5" t="s">
        <v>93</v>
      </c>
      <c r="B19" s="15">
        <v>1068</v>
      </c>
      <c r="C19" s="15">
        <v>735</v>
      </c>
      <c r="D19" s="15">
        <v>683</v>
      </c>
      <c r="E19" s="15">
        <v>208</v>
      </c>
      <c r="F19" s="15">
        <v>0</v>
      </c>
      <c r="G19" s="15">
        <v>0</v>
      </c>
    </row>
    <row r="20" spans="1:7" x14ac:dyDescent="0.2">
      <c r="A20" s="5" t="s">
        <v>94</v>
      </c>
      <c r="B20" s="15">
        <v>0</v>
      </c>
      <c r="C20" s="15">
        <v>0</v>
      </c>
      <c r="D20" s="15">
        <v>0</v>
      </c>
      <c r="E20" s="15">
        <v>458</v>
      </c>
      <c r="F20" s="15">
        <v>514</v>
      </c>
      <c r="G20" s="15">
        <v>725</v>
      </c>
    </row>
    <row r="21" spans="1:7" x14ac:dyDescent="0.2">
      <c r="A21" s="5" t="s">
        <v>95</v>
      </c>
      <c r="B21" s="15">
        <v>0</v>
      </c>
      <c r="C21" s="15">
        <v>0</v>
      </c>
      <c r="D21" s="15">
        <v>0</v>
      </c>
      <c r="E21" s="15">
        <v>0</v>
      </c>
      <c r="F21" s="15">
        <v>0</v>
      </c>
      <c r="G21" s="15">
        <v>0</v>
      </c>
    </row>
    <row r="22" spans="1:7" x14ac:dyDescent="0.2">
      <c r="A22" s="14" t="s">
        <v>96</v>
      </c>
      <c r="B22" s="16">
        <v>58091</v>
      </c>
      <c r="C22" s="16">
        <v>57887</v>
      </c>
      <c r="D22" s="16">
        <v>61344</v>
      </c>
      <c r="E22" s="16">
        <v>65322</v>
      </c>
      <c r="F22" s="16">
        <v>68187</v>
      </c>
      <c r="G22" s="16">
        <v>69916</v>
      </c>
    </row>
    <row r="23" spans="1:7" x14ac:dyDescent="0.2">
      <c r="A23" s="5"/>
      <c r="B23" s="5"/>
      <c r="C23" s="5"/>
      <c r="D23" s="5"/>
      <c r="E23" s="5"/>
      <c r="F23" s="5"/>
      <c r="G23" s="5"/>
    </row>
    <row r="24" spans="1:7" x14ac:dyDescent="0.2">
      <c r="A24" s="5" t="s">
        <v>97</v>
      </c>
      <c r="B24" s="15">
        <v>53377</v>
      </c>
      <c r="C24" s="15">
        <v>53734</v>
      </c>
      <c r="D24" s="15">
        <v>56511</v>
      </c>
      <c r="E24" s="15">
        <v>60412</v>
      </c>
      <c r="F24" s="15">
        <v>62826</v>
      </c>
      <c r="G24" s="15">
        <v>63893</v>
      </c>
    </row>
    <row r="25" spans="1:7" x14ac:dyDescent="0.2">
      <c r="A25" s="5" t="s">
        <v>98</v>
      </c>
      <c r="B25" s="15">
        <v>709</v>
      </c>
      <c r="C25" s="15">
        <v>467</v>
      </c>
      <c r="D25" s="15">
        <v>556</v>
      </c>
      <c r="E25" s="15">
        <v>170</v>
      </c>
      <c r="F25" s="15">
        <v>0</v>
      </c>
      <c r="G25" s="15">
        <v>0</v>
      </c>
    </row>
    <row r="26" spans="1:7" x14ac:dyDescent="0.2">
      <c r="A26" s="5" t="s">
        <v>99</v>
      </c>
      <c r="B26" s="15">
        <v>0</v>
      </c>
      <c r="C26" s="15">
        <v>0</v>
      </c>
      <c r="D26" s="15">
        <v>0</v>
      </c>
      <c r="E26" s="15">
        <v>448</v>
      </c>
      <c r="F26" s="15">
        <v>508</v>
      </c>
      <c r="G26" s="15">
        <v>669</v>
      </c>
    </row>
    <row r="27" spans="1:7" x14ac:dyDescent="0.2">
      <c r="A27" s="5" t="s">
        <v>100</v>
      </c>
      <c r="B27" s="15">
        <v>166</v>
      </c>
      <c r="C27" s="15">
        <v>83</v>
      </c>
      <c r="D27" s="15">
        <v>42</v>
      </c>
      <c r="E27" s="15">
        <v>42</v>
      </c>
      <c r="F27" s="15">
        <v>0</v>
      </c>
      <c r="G27" s="15">
        <v>0</v>
      </c>
    </row>
    <row r="28" spans="1:7" x14ac:dyDescent="0.2">
      <c r="A28" s="14" t="s">
        <v>101</v>
      </c>
      <c r="B28" s="16">
        <v>3839</v>
      </c>
      <c r="C28" s="16">
        <v>3603</v>
      </c>
      <c r="D28" s="16">
        <v>4235</v>
      </c>
      <c r="E28" s="16">
        <v>4250</v>
      </c>
      <c r="F28" s="16">
        <v>4853</v>
      </c>
      <c r="G28" s="16">
        <v>5354</v>
      </c>
    </row>
    <row r="29" spans="1:7" x14ac:dyDescent="0.2">
      <c r="A29" s="5"/>
      <c r="B29" s="5"/>
      <c r="C29" s="5"/>
      <c r="D29" s="5"/>
      <c r="E29" s="5"/>
      <c r="F29" s="5"/>
      <c r="G29" s="5"/>
    </row>
    <row r="30" spans="1:7" x14ac:dyDescent="0.2">
      <c r="A30" s="5" t="s">
        <v>102</v>
      </c>
      <c r="B30" s="15">
        <v>1212</v>
      </c>
      <c r="C30" s="15">
        <v>1430</v>
      </c>
      <c r="D30" s="15">
        <v>1404</v>
      </c>
      <c r="E30" s="15">
        <v>1655</v>
      </c>
      <c r="F30" s="15">
        <v>2034</v>
      </c>
      <c r="G30" s="15">
        <v>2355</v>
      </c>
    </row>
    <row r="31" spans="1:7" x14ac:dyDescent="0.2">
      <c r="A31" s="5" t="s">
        <v>103</v>
      </c>
      <c r="B31" s="15">
        <v>0</v>
      </c>
      <c r="C31" s="15">
        <v>0</v>
      </c>
      <c r="D31" s="15">
        <v>0</v>
      </c>
      <c r="E31" s="15">
        <v>0</v>
      </c>
      <c r="F31" s="15">
        <v>0</v>
      </c>
      <c r="G31" s="15">
        <v>0</v>
      </c>
    </row>
    <row r="32" spans="1:7" x14ac:dyDescent="0.2">
      <c r="A32" s="5" t="s">
        <v>104</v>
      </c>
      <c r="B32" s="15">
        <v>0</v>
      </c>
      <c r="C32" s="15">
        <v>0</v>
      </c>
      <c r="D32" s="15">
        <v>0</v>
      </c>
      <c r="E32" s="15">
        <v>0</v>
      </c>
      <c r="F32" s="15">
        <v>0</v>
      </c>
      <c r="G32" s="15">
        <v>0</v>
      </c>
    </row>
    <row r="33" spans="1:7" x14ac:dyDescent="0.2">
      <c r="A33" s="5" t="s">
        <v>105</v>
      </c>
      <c r="B33" s="15">
        <v>0</v>
      </c>
      <c r="C33" s="15">
        <v>0</v>
      </c>
      <c r="D33" s="15">
        <v>0</v>
      </c>
      <c r="E33" s="15">
        <v>0</v>
      </c>
      <c r="F33" s="15">
        <v>0</v>
      </c>
      <c r="G33" s="15">
        <v>0</v>
      </c>
    </row>
    <row r="34" spans="1:7" x14ac:dyDescent="0.2">
      <c r="A34" s="5" t="s">
        <v>106</v>
      </c>
      <c r="B34" s="15">
        <v>0</v>
      </c>
      <c r="C34" s="15">
        <v>384</v>
      </c>
      <c r="D34" s="15">
        <v>-39</v>
      </c>
      <c r="E34" s="15">
        <v>0</v>
      </c>
      <c r="F34" s="15">
        <v>0</v>
      </c>
      <c r="G34" s="15">
        <v>0</v>
      </c>
    </row>
    <row r="35" spans="1:7" x14ac:dyDescent="0.2">
      <c r="A35" s="5"/>
      <c r="B35" s="5"/>
      <c r="C35" s="5"/>
      <c r="D35" s="5"/>
      <c r="E35" s="5"/>
      <c r="F35" s="5"/>
      <c r="G35" s="5"/>
    </row>
    <row r="36" spans="1:7" x14ac:dyDescent="0.2">
      <c r="A36" s="14" t="s">
        <v>107</v>
      </c>
      <c r="B36" s="16">
        <v>1212</v>
      </c>
      <c r="C36" s="16">
        <v>1814</v>
      </c>
      <c r="D36" s="16">
        <v>1365</v>
      </c>
      <c r="E36" s="16">
        <v>1655</v>
      </c>
      <c r="F36" s="16">
        <v>2034</v>
      </c>
      <c r="G36" s="16">
        <v>2355</v>
      </c>
    </row>
    <row r="37" spans="1:7" x14ac:dyDescent="0.2">
      <c r="A37" s="5"/>
      <c r="B37" s="5"/>
      <c r="C37" s="5"/>
      <c r="D37" s="5"/>
      <c r="E37" s="5"/>
      <c r="F37" s="5"/>
      <c r="G37" s="5"/>
    </row>
    <row r="38" spans="1:7" x14ac:dyDescent="0.2">
      <c r="A38" s="14" t="s">
        <v>108</v>
      </c>
      <c r="B38" s="17">
        <v>2627</v>
      </c>
      <c r="C38" s="17">
        <v>1789</v>
      </c>
      <c r="D38" s="17">
        <v>2870</v>
      </c>
      <c r="E38" s="17">
        <v>2595</v>
      </c>
      <c r="F38" s="17">
        <v>2819</v>
      </c>
      <c r="G38" s="17">
        <v>2999</v>
      </c>
    </row>
    <row r="39" spans="1:7" x14ac:dyDescent="0.2">
      <c r="A39" s="5"/>
      <c r="B39" s="5"/>
      <c r="C39" s="5"/>
      <c r="D39" s="5"/>
      <c r="E39" s="5"/>
      <c r="F39" s="5"/>
      <c r="G39" s="5"/>
    </row>
    <row r="40" spans="1:7" x14ac:dyDescent="0.2">
      <c r="A40" s="5" t="s">
        <v>109</v>
      </c>
      <c r="B40" s="15">
        <v>-722</v>
      </c>
      <c r="C40" s="15">
        <v>-701</v>
      </c>
      <c r="D40" s="15">
        <v>-652</v>
      </c>
      <c r="E40" s="15">
        <v>-709</v>
      </c>
      <c r="F40" s="15">
        <v>-807</v>
      </c>
      <c r="G40" s="15">
        <v>-769</v>
      </c>
    </row>
    <row r="41" spans="1:7" x14ac:dyDescent="0.2">
      <c r="A41" s="5" t="s">
        <v>110</v>
      </c>
      <c r="B41" s="15">
        <v>16</v>
      </c>
      <c r="C41" s="15">
        <v>15</v>
      </c>
      <c r="D41" s="15">
        <v>9</v>
      </c>
      <c r="E41" s="15">
        <v>85</v>
      </c>
      <c r="F41" s="15">
        <v>266</v>
      </c>
      <c r="G41" s="15">
        <v>252</v>
      </c>
    </row>
    <row r="42" spans="1:7" x14ac:dyDescent="0.2">
      <c r="A42" s="14" t="s">
        <v>111</v>
      </c>
      <c r="B42" s="16">
        <v>-706</v>
      </c>
      <c r="C42" s="16">
        <v>-686</v>
      </c>
      <c r="D42" s="16">
        <v>-643</v>
      </c>
      <c r="E42" s="16">
        <v>-624</v>
      </c>
      <c r="F42" s="16">
        <v>-541</v>
      </c>
      <c r="G42" s="16">
        <v>-517</v>
      </c>
    </row>
    <row r="43" spans="1:7" x14ac:dyDescent="0.2">
      <c r="A43" s="5"/>
      <c r="B43" s="5"/>
      <c r="C43" s="5"/>
      <c r="D43" s="5"/>
      <c r="E43" s="5"/>
      <c r="F43" s="5"/>
      <c r="G43" s="5"/>
    </row>
    <row r="44" spans="1:7" x14ac:dyDescent="0.2">
      <c r="A44" s="5" t="s">
        <v>112</v>
      </c>
      <c r="B44" s="15">
        <v>-8</v>
      </c>
      <c r="C44" s="15">
        <v>26</v>
      </c>
      <c r="D44" s="15">
        <v>15</v>
      </c>
      <c r="E44" s="15">
        <v>8</v>
      </c>
      <c r="F44" s="15">
        <v>6</v>
      </c>
      <c r="G44" s="15">
        <v>-4</v>
      </c>
    </row>
    <row r="45" spans="1:7" x14ac:dyDescent="0.2">
      <c r="A45" s="5" t="s">
        <v>113</v>
      </c>
      <c r="B45" s="15">
        <v>-177</v>
      </c>
      <c r="C45" s="15">
        <v>-48</v>
      </c>
      <c r="D45" s="15">
        <v>123</v>
      </c>
      <c r="E45" s="15">
        <v>-51</v>
      </c>
      <c r="F45" s="15">
        <v>27</v>
      </c>
      <c r="G45" s="15">
        <v>66</v>
      </c>
    </row>
    <row r="46" spans="1:7" x14ac:dyDescent="0.2">
      <c r="A46" s="14" t="s">
        <v>114</v>
      </c>
      <c r="B46" s="16">
        <v>1736</v>
      </c>
      <c r="C46" s="16">
        <v>1081</v>
      </c>
      <c r="D46" s="16">
        <v>2365</v>
      </c>
      <c r="E46" s="16">
        <v>1928</v>
      </c>
      <c r="F46" s="16">
        <v>2311</v>
      </c>
      <c r="G46" s="16">
        <v>2544</v>
      </c>
    </row>
    <row r="47" spans="1:7" x14ac:dyDescent="0.2">
      <c r="A47" s="5"/>
      <c r="B47" s="5"/>
      <c r="C47" s="5"/>
      <c r="D47" s="5"/>
      <c r="E47" s="5"/>
      <c r="F47" s="5"/>
      <c r="G47" s="5"/>
    </row>
    <row r="48" spans="1:7" x14ac:dyDescent="0.2">
      <c r="A48" s="5" t="s">
        <v>115</v>
      </c>
      <c r="B48" s="15">
        <v>-108</v>
      </c>
      <c r="C48" s="15">
        <v>0</v>
      </c>
      <c r="D48" s="15">
        <v>-44</v>
      </c>
      <c r="E48" s="15">
        <v>-132</v>
      </c>
      <c r="F48" s="15">
        <v>-50</v>
      </c>
      <c r="G48" s="15">
        <v>-43</v>
      </c>
    </row>
    <row r="49" spans="1:7" x14ac:dyDescent="0.2">
      <c r="A49" s="5" t="s">
        <v>116</v>
      </c>
      <c r="B49" s="15">
        <v>-23</v>
      </c>
      <c r="C49" s="15">
        <v>-25</v>
      </c>
      <c r="D49" s="15">
        <v>0</v>
      </c>
      <c r="E49" s="15">
        <v>0</v>
      </c>
      <c r="F49" s="15">
        <v>0</v>
      </c>
      <c r="G49" s="15">
        <v>0</v>
      </c>
    </row>
    <row r="50" spans="1:7" x14ac:dyDescent="0.2">
      <c r="A50" s="5" t="s">
        <v>117</v>
      </c>
      <c r="B50" s="15">
        <v>0</v>
      </c>
      <c r="C50" s="15">
        <v>-295</v>
      </c>
      <c r="D50" s="15">
        <v>0</v>
      </c>
      <c r="E50" s="15">
        <v>0</v>
      </c>
      <c r="F50" s="15">
        <v>0</v>
      </c>
      <c r="G50" s="15">
        <v>0</v>
      </c>
    </row>
    <row r="51" spans="1:7" x14ac:dyDescent="0.2">
      <c r="A51" s="5" t="s">
        <v>118</v>
      </c>
      <c r="B51" s="15">
        <v>-183</v>
      </c>
      <c r="C51" s="15">
        <v>0</v>
      </c>
      <c r="D51" s="15">
        <v>0</v>
      </c>
      <c r="E51" s="15">
        <v>0</v>
      </c>
      <c r="F51" s="15">
        <v>0</v>
      </c>
      <c r="G51" s="15">
        <v>0</v>
      </c>
    </row>
    <row r="52" spans="1:7" x14ac:dyDescent="0.2">
      <c r="A52" s="5" t="s">
        <v>119</v>
      </c>
      <c r="B52" s="15">
        <v>0</v>
      </c>
      <c r="C52" s="15">
        <v>0</v>
      </c>
      <c r="D52" s="15">
        <v>0</v>
      </c>
      <c r="E52" s="15">
        <v>0</v>
      </c>
      <c r="F52" s="15">
        <v>0</v>
      </c>
      <c r="G52" s="15">
        <v>0</v>
      </c>
    </row>
    <row r="53" spans="1:7" x14ac:dyDescent="0.2">
      <c r="A53" s="5" t="s">
        <v>120</v>
      </c>
      <c r="B53" s="15">
        <v>3</v>
      </c>
      <c r="C53" s="15">
        <v>128</v>
      </c>
      <c r="D53" s="15">
        <v>-121</v>
      </c>
      <c r="E53" s="15">
        <v>-996</v>
      </c>
      <c r="F53" s="15">
        <v>28</v>
      </c>
      <c r="G53" s="15">
        <v>-286</v>
      </c>
    </row>
    <row r="54" spans="1:7" x14ac:dyDescent="0.2">
      <c r="A54" s="5" t="s">
        <v>121</v>
      </c>
      <c r="B54" s="15">
        <v>0</v>
      </c>
      <c r="C54" s="15">
        <v>0</v>
      </c>
      <c r="D54" s="15">
        <v>0</v>
      </c>
      <c r="E54" s="15">
        <v>0</v>
      </c>
      <c r="F54" s="15">
        <v>0</v>
      </c>
      <c r="G54" s="15">
        <v>0</v>
      </c>
    </row>
    <row r="55" spans="1:7" x14ac:dyDescent="0.2">
      <c r="A55" s="5" t="s">
        <v>122</v>
      </c>
      <c r="B55" s="15">
        <v>0</v>
      </c>
      <c r="C55" s="15">
        <v>-93</v>
      </c>
      <c r="D55" s="15">
        <v>-193</v>
      </c>
      <c r="E55" s="15">
        <v>0</v>
      </c>
      <c r="F55" s="15">
        <v>0</v>
      </c>
      <c r="G55" s="15">
        <v>0</v>
      </c>
    </row>
    <row r="56" spans="1:7" x14ac:dyDescent="0.2">
      <c r="A56" s="5" t="s">
        <v>123</v>
      </c>
      <c r="B56" s="15">
        <v>-397</v>
      </c>
      <c r="C56" s="15">
        <v>-160</v>
      </c>
      <c r="D56" s="15">
        <v>26</v>
      </c>
      <c r="E56" s="15">
        <v>82</v>
      </c>
      <c r="F56" s="15">
        <v>0</v>
      </c>
      <c r="G56" s="15">
        <v>0</v>
      </c>
    </row>
    <row r="57" spans="1:7" x14ac:dyDescent="0.2">
      <c r="A57" s="14" t="s">
        <v>124</v>
      </c>
      <c r="B57" s="16">
        <v>1028</v>
      </c>
      <c r="C57" s="16">
        <v>636</v>
      </c>
      <c r="D57" s="16">
        <v>2033</v>
      </c>
      <c r="E57" s="16">
        <v>882</v>
      </c>
      <c r="F57" s="16">
        <v>2289</v>
      </c>
      <c r="G57" s="16">
        <v>2215</v>
      </c>
    </row>
    <row r="58" spans="1:7" x14ac:dyDescent="0.2">
      <c r="A58" s="5"/>
      <c r="B58" s="5"/>
      <c r="C58" s="5"/>
      <c r="D58" s="5"/>
      <c r="E58" s="5"/>
      <c r="F58" s="5"/>
      <c r="G58" s="5"/>
    </row>
    <row r="59" spans="1:7" x14ac:dyDescent="0.2">
      <c r="A59" s="5" t="s">
        <v>125</v>
      </c>
      <c r="B59" s="15">
        <v>290</v>
      </c>
      <c r="C59" s="15">
        <v>104</v>
      </c>
      <c r="D59" s="15">
        <v>510</v>
      </c>
      <c r="E59" s="15">
        <v>224</v>
      </c>
      <c r="F59" s="15">
        <v>525</v>
      </c>
      <c r="G59" s="15">
        <v>611</v>
      </c>
    </row>
    <row r="60" spans="1:7" x14ac:dyDescent="0.2">
      <c r="A60" s="14" t="s">
        <v>126</v>
      </c>
      <c r="B60" s="16">
        <v>738</v>
      </c>
      <c r="C60" s="16">
        <v>532</v>
      </c>
      <c r="D60" s="16">
        <v>1523</v>
      </c>
      <c r="E60" s="16">
        <v>658</v>
      </c>
      <c r="F60" s="16">
        <v>1764</v>
      </c>
      <c r="G60" s="16">
        <v>1604</v>
      </c>
    </row>
    <row r="61" spans="1:7" x14ac:dyDescent="0.2">
      <c r="A61" s="5"/>
      <c r="B61" s="5"/>
      <c r="C61" s="5"/>
      <c r="D61" s="5"/>
      <c r="E61" s="5"/>
      <c r="F61" s="5"/>
      <c r="G61" s="5"/>
    </row>
    <row r="62" spans="1:7" x14ac:dyDescent="0.2">
      <c r="A62" s="5" t="s">
        <v>127</v>
      </c>
      <c r="B62" s="15">
        <v>235</v>
      </c>
      <c r="C62" s="15">
        <v>5426</v>
      </c>
      <c r="D62" s="15">
        <v>-40</v>
      </c>
      <c r="E62" s="15">
        <v>78</v>
      </c>
      <c r="F62" s="15">
        <v>-572</v>
      </c>
      <c r="G62" s="15">
        <v>26</v>
      </c>
    </row>
    <row r="63" spans="1:7" x14ac:dyDescent="0.2">
      <c r="A63" s="5" t="s">
        <v>128</v>
      </c>
      <c r="B63" s="15">
        <v>0</v>
      </c>
      <c r="C63" s="15">
        <v>0</v>
      </c>
      <c r="D63" s="15">
        <v>0</v>
      </c>
      <c r="E63" s="15">
        <v>0</v>
      </c>
      <c r="F63" s="15">
        <v>0</v>
      </c>
      <c r="G63" s="15">
        <v>0</v>
      </c>
    </row>
    <row r="64" spans="1:7" x14ac:dyDescent="0.2">
      <c r="A64" s="14" t="s">
        <v>129</v>
      </c>
      <c r="B64" s="16">
        <v>973</v>
      </c>
      <c r="C64" s="16">
        <v>5958</v>
      </c>
      <c r="D64" s="16">
        <v>1483</v>
      </c>
      <c r="E64" s="16">
        <v>736</v>
      </c>
      <c r="F64" s="16">
        <v>1192</v>
      </c>
      <c r="G64" s="16">
        <v>1630</v>
      </c>
    </row>
    <row r="65" spans="1:7" x14ac:dyDescent="0.2">
      <c r="A65" s="5"/>
      <c r="B65" s="5"/>
      <c r="C65" s="5"/>
      <c r="D65" s="5"/>
      <c r="E65" s="5"/>
      <c r="F65" s="5"/>
      <c r="G65" s="5"/>
    </row>
    <row r="66" spans="1:7" x14ac:dyDescent="0.2">
      <c r="A66" s="5" t="s">
        <v>130</v>
      </c>
      <c r="B66" s="15">
        <v>-2</v>
      </c>
      <c r="C66" s="15">
        <v>-4</v>
      </c>
      <c r="D66" s="15">
        <v>-2</v>
      </c>
      <c r="E66" s="15">
        <v>1</v>
      </c>
      <c r="F66" s="15">
        <v>-4</v>
      </c>
      <c r="G66" s="15">
        <v>-4</v>
      </c>
    </row>
    <row r="67" spans="1:7" x14ac:dyDescent="0.2">
      <c r="A67" s="14" t="s">
        <v>131</v>
      </c>
      <c r="B67" s="18">
        <v>971</v>
      </c>
      <c r="C67" s="18">
        <v>5954</v>
      </c>
      <c r="D67" s="18">
        <v>1481</v>
      </c>
      <c r="E67" s="18">
        <v>737</v>
      </c>
      <c r="F67" s="18">
        <v>1188</v>
      </c>
      <c r="G67" s="18">
        <v>1626</v>
      </c>
    </row>
    <row r="68" spans="1:7" x14ac:dyDescent="0.2">
      <c r="A68" s="5"/>
      <c r="B68" s="5"/>
      <c r="C68" s="5"/>
      <c r="D68" s="5"/>
      <c r="E68" s="5"/>
      <c r="F68" s="5"/>
      <c r="G68" s="5"/>
    </row>
    <row r="69" spans="1:7" x14ac:dyDescent="0.2">
      <c r="A69" s="5" t="s">
        <v>132</v>
      </c>
      <c r="B69" s="15">
        <v>0</v>
      </c>
      <c r="C69" s="15">
        <v>0</v>
      </c>
      <c r="D69" s="15">
        <v>0</v>
      </c>
      <c r="E69" s="15">
        <v>0</v>
      </c>
      <c r="F69" s="15">
        <v>0</v>
      </c>
      <c r="G69" s="15">
        <v>0</v>
      </c>
    </row>
    <row r="70" spans="1:7" x14ac:dyDescent="0.2">
      <c r="A70" s="5"/>
      <c r="B70" s="5"/>
      <c r="C70" s="5"/>
      <c r="D70" s="5"/>
      <c r="E70" s="5"/>
      <c r="F70" s="5"/>
      <c r="G70" s="5"/>
    </row>
    <row r="71" spans="1:7" x14ac:dyDescent="0.2">
      <c r="A71" s="14" t="s">
        <v>133</v>
      </c>
      <c r="B71" s="17">
        <v>971</v>
      </c>
      <c r="C71" s="17">
        <v>5954</v>
      </c>
      <c r="D71" s="17">
        <v>1481</v>
      </c>
      <c r="E71" s="17">
        <v>737</v>
      </c>
      <c r="F71" s="17">
        <v>1188</v>
      </c>
      <c r="G71" s="17">
        <v>1626</v>
      </c>
    </row>
    <row r="72" spans="1:7" x14ac:dyDescent="0.2">
      <c r="A72" s="14" t="s">
        <v>134</v>
      </c>
      <c r="B72" s="17">
        <v>736</v>
      </c>
      <c r="C72" s="17">
        <v>528</v>
      </c>
      <c r="D72" s="17">
        <v>1521</v>
      </c>
      <c r="E72" s="17">
        <v>659</v>
      </c>
      <c r="F72" s="17">
        <v>1760</v>
      </c>
      <c r="G72" s="17">
        <v>1600</v>
      </c>
    </row>
    <row r="73" spans="1:7" x14ac:dyDescent="0.2">
      <c r="A73" s="5"/>
      <c r="B73" s="5"/>
      <c r="C73" s="5"/>
      <c r="D73" s="5"/>
      <c r="E73" s="5"/>
      <c r="F73" s="5"/>
      <c r="G73" s="5"/>
    </row>
    <row r="74" spans="1:7" x14ac:dyDescent="0.2">
      <c r="A74" s="14" t="s">
        <v>135</v>
      </c>
      <c r="B74" s="5"/>
      <c r="C74" s="5"/>
      <c r="D74" s="5"/>
      <c r="E74" s="5"/>
      <c r="F74" s="5"/>
      <c r="G74" s="5"/>
    </row>
    <row r="75" spans="1:7" x14ac:dyDescent="0.2">
      <c r="A75" s="5" t="s">
        <v>136</v>
      </c>
      <c r="B75" s="19">
        <v>0.12658800000000001</v>
      </c>
      <c r="C75" s="19">
        <v>0.78323100000000001</v>
      </c>
      <c r="D75" s="19">
        <v>0.19339200000000001</v>
      </c>
      <c r="E75" s="19">
        <v>9.9392999999999995E-2</v>
      </c>
      <c r="F75" s="19">
        <v>0.16739399999999999</v>
      </c>
      <c r="G75" s="19">
        <v>0.23789299999999999</v>
      </c>
    </row>
    <row r="76" spans="1:7" x14ac:dyDescent="0.2">
      <c r="A76" s="5" t="s">
        <v>137</v>
      </c>
      <c r="B76" s="19">
        <v>9.5950999999999995E-2</v>
      </c>
      <c r="C76" s="19">
        <v>6.9456000000000004E-2</v>
      </c>
      <c r="D76" s="19">
        <v>0.19861500000000001</v>
      </c>
      <c r="E76" s="19">
        <v>8.8872999999999994E-2</v>
      </c>
      <c r="F76" s="19">
        <v>0.24799199999999999</v>
      </c>
      <c r="G76" s="19">
        <v>0.23408899999999999</v>
      </c>
    </row>
    <row r="77" spans="1:7" x14ac:dyDescent="0.2">
      <c r="A77" s="5" t="s">
        <v>138</v>
      </c>
      <c r="B77" s="15">
        <v>7670.5262750000002</v>
      </c>
      <c r="C77" s="15">
        <v>7601.8420649999998</v>
      </c>
      <c r="D77" s="15">
        <v>7658</v>
      </c>
      <c r="E77" s="15">
        <v>7415</v>
      </c>
      <c r="F77" s="15">
        <v>7097</v>
      </c>
      <c r="G77" s="15">
        <v>6835</v>
      </c>
    </row>
    <row r="78" spans="1:7" x14ac:dyDescent="0.2">
      <c r="A78" s="5"/>
      <c r="B78" s="5"/>
      <c r="C78" s="5"/>
      <c r="D78" s="5"/>
      <c r="E78" s="5"/>
      <c r="F78" s="5"/>
      <c r="G78" s="5"/>
    </row>
    <row r="79" spans="1:7" x14ac:dyDescent="0.2">
      <c r="A79" s="5" t="s">
        <v>139</v>
      </c>
      <c r="B79" s="19">
        <v>0.12579899999999999</v>
      </c>
      <c r="C79" s="19">
        <v>0.78100000000000003</v>
      </c>
      <c r="D79" s="19">
        <v>0.19123599999999999</v>
      </c>
      <c r="E79" s="19">
        <v>9.8525000000000001E-2</v>
      </c>
      <c r="F79" s="19">
        <v>0.16558899999999999</v>
      </c>
      <c r="G79" s="19">
        <v>0.23505799999999999</v>
      </c>
    </row>
    <row r="80" spans="1:7" x14ac:dyDescent="0.2">
      <c r="A80" s="5" t="s">
        <v>140</v>
      </c>
      <c r="B80" s="19">
        <v>9.5372999999999999E-2</v>
      </c>
      <c r="C80" s="19">
        <v>6.9221000000000005E-2</v>
      </c>
      <c r="D80" s="19">
        <v>0.19639999999999999</v>
      </c>
      <c r="E80" s="19">
        <v>8.8099999999999998E-2</v>
      </c>
      <c r="F80" s="19">
        <v>0.24529999999999999</v>
      </c>
      <c r="G80" s="19">
        <v>0.23130000000000001</v>
      </c>
    </row>
    <row r="81" spans="1:7" x14ac:dyDescent="0.2">
      <c r="A81" s="5" t="s">
        <v>141</v>
      </c>
      <c r="B81" s="15">
        <v>7723.4210110000004</v>
      </c>
      <c r="C81" s="15">
        <v>7623.157854</v>
      </c>
      <c r="D81" s="15">
        <v>7746</v>
      </c>
      <c r="E81" s="15">
        <v>7482</v>
      </c>
      <c r="F81" s="15">
        <v>7176</v>
      </c>
      <c r="G81" s="15">
        <v>6918</v>
      </c>
    </row>
    <row r="82" spans="1:7" x14ac:dyDescent="0.2">
      <c r="A82" s="5"/>
      <c r="B82" s="5"/>
      <c r="C82" s="5"/>
      <c r="D82" s="5"/>
      <c r="E82" s="5"/>
      <c r="F82" s="5"/>
      <c r="G82" s="5"/>
    </row>
    <row r="83" spans="1:7" x14ac:dyDescent="0.2">
      <c r="A83" s="5" t="s">
        <v>142</v>
      </c>
      <c r="B83" s="19">
        <v>0.14118900000000001</v>
      </c>
      <c r="C83" s="19">
        <v>8.8349999999999998E-2</v>
      </c>
      <c r="D83" s="19">
        <v>0.19275500000000001</v>
      </c>
      <c r="E83" s="19">
        <v>0.16264300000000001</v>
      </c>
      <c r="F83" s="19">
        <v>0.202955</v>
      </c>
      <c r="G83" s="19">
        <v>0.23204</v>
      </c>
    </row>
    <row r="84" spans="1:7" x14ac:dyDescent="0.2">
      <c r="A84" s="5" t="s">
        <v>143</v>
      </c>
      <c r="B84" s="19">
        <v>0.14022200000000001</v>
      </c>
      <c r="C84" s="19">
        <v>8.8103000000000001E-2</v>
      </c>
      <c r="D84" s="19">
        <v>0.19056600000000001</v>
      </c>
      <c r="E84" s="19">
        <v>0.161186</v>
      </c>
      <c r="F84" s="19">
        <v>0.20072100000000001</v>
      </c>
      <c r="G84" s="19">
        <v>0.22925699999999999</v>
      </c>
    </row>
    <row r="85" spans="1:7" x14ac:dyDescent="0.2">
      <c r="A85" s="5"/>
      <c r="B85" s="5"/>
      <c r="C85" s="5"/>
      <c r="D85" s="5"/>
      <c r="E85" s="5"/>
      <c r="F85" s="5"/>
      <c r="G85" s="5"/>
    </row>
    <row r="86" spans="1:7" x14ac:dyDescent="0.2">
      <c r="A86" s="5" t="s">
        <v>144</v>
      </c>
      <c r="B86" s="19">
        <v>0.1159</v>
      </c>
      <c r="C86" s="19">
        <v>0.1159</v>
      </c>
      <c r="D86" s="19">
        <v>0.109</v>
      </c>
      <c r="E86" s="19">
        <v>0.109</v>
      </c>
      <c r="F86" s="19">
        <v>0.121</v>
      </c>
      <c r="G86" s="19">
        <v>0.13700000000000001</v>
      </c>
    </row>
    <row r="87" spans="1:7" x14ac:dyDescent="0.2">
      <c r="A87" s="5" t="s">
        <v>145</v>
      </c>
      <c r="B87" s="20">
        <v>0.67559199999999997</v>
      </c>
      <c r="C87" s="20">
        <v>0.152838</v>
      </c>
      <c r="D87" s="20">
        <v>0.475354</v>
      </c>
      <c r="E87" s="20">
        <v>1.1641790000000001</v>
      </c>
      <c r="F87" s="20">
        <v>0.65403999999999995</v>
      </c>
      <c r="G87" s="20">
        <v>0.53136499999999998</v>
      </c>
    </row>
    <row r="88" spans="1:7" x14ac:dyDescent="0.2">
      <c r="A88" s="5"/>
      <c r="B88" s="5"/>
      <c r="C88" s="5"/>
      <c r="D88" s="5"/>
      <c r="E88" s="5"/>
      <c r="F88" s="5"/>
      <c r="G88" s="5"/>
    </row>
    <row r="89" spans="1:7" x14ac:dyDescent="0.2">
      <c r="A89" s="5" t="s">
        <v>146</v>
      </c>
      <c r="B89" s="21">
        <v>3</v>
      </c>
      <c r="C89" s="21">
        <v>3</v>
      </c>
      <c r="D89" s="21">
        <v>3</v>
      </c>
      <c r="E89" s="21">
        <v>3</v>
      </c>
      <c r="F89" s="21">
        <v>3</v>
      </c>
      <c r="G89" s="21">
        <v>3</v>
      </c>
    </row>
    <row r="90" spans="1:7" x14ac:dyDescent="0.2">
      <c r="A90" s="5"/>
      <c r="B90" s="5"/>
      <c r="C90" s="5"/>
      <c r="D90" s="5"/>
      <c r="E90" s="5"/>
      <c r="F90" s="5"/>
      <c r="G90" s="5"/>
    </row>
    <row r="91" spans="1:7" x14ac:dyDescent="0.2">
      <c r="A91" s="14" t="s">
        <v>147</v>
      </c>
      <c r="B91" s="5"/>
      <c r="C91" s="5"/>
      <c r="D91" s="5"/>
      <c r="E91" s="5"/>
      <c r="F91" s="5"/>
      <c r="G91" s="5"/>
    </row>
    <row r="92" spans="1:7" x14ac:dyDescent="0.2">
      <c r="A92" s="5" t="s">
        <v>30</v>
      </c>
      <c r="B92" s="15">
        <v>3865</v>
      </c>
      <c r="C92" s="15">
        <v>2774</v>
      </c>
      <c r="D92" s="15">
        <v>3842</v>
      </c>
      <c r="E92" s="15">
        <v>3722</v>
      </c>
      <c r="F92" s="15">
        <v>3970</v>
      </c>
      <c r="G92" s="15">
        <v>4224</v>
      </c>
    </row>
    <row r="93" spans="1:7" x14ac:dyDescent="0.2">
      <c r="A93" s="5" t="s">
        <v>148</v>
      </c>
      <c r="B93" s="15">
        <v>2986</v>
      </c>
      <c r="C93" s="15">
        <v>1869</v>
      </c>
      <c r="D93" s="15">
        <v>2948</v>
      </c>
      <c r="E93" s="15">
        <v>2842</v>
      </c>
      <c r="F93" s="15">
        <v>3074</v>
      </c>
      <c r="G93" s="15">
        <v>3286</v>
      </c>
    </row>
    <row r="94" spans="1:7" x14ac:dyDescent="0.2">
      <c r="A94" s="5" t="s">
        <v>31</v>
      </c>
      <c r="B94" s="15">
        <v>2627</v>
      </c>
      <c r="C94" s="15">
        <v>1789</v>
      </c>
      <c r="D94" s="15">
        <v>2870</v>
      </c>
      <c r="E94" s="15">
        <v>2595</v>
      </c>
      <c r="F94" s="15">
        <v>2819</v>
      </c>
      <c r="G94" s="15">
        <v>2999</v>
      </c>
    </row>
    <row r="95" spans="1:7" x14ac:dyDescent="0.2">
      <c r="A95" s="5" t="s">
        <v>149</v>
      </c>
      <c r="B95" s="15">
        <v>3854</v>
      </c>
      <c r="C95" s="15">
        <v>2771</v>
      </c>
      <c r="D95" s="15">
        <v>3849</v>
      </c>
      <c r="E95" s="15">
        <v>3725</v>
      </c>
      <c r="F95" s="15">
        <v>3972</v>
      </c>
      <c r="G95" s="15">
        <v>4221</v>
      </c>
    </row>
    <row r="96" spans="1:7" ht="17" x14ac:dyDescent="0.2">
      <c r="A96" s="5" t="s">
        <v>150</v>
      </c>
      <c r="B96" s="15" t="s">
        <v>27</v>
      </c>
      <c r="C96" s="15" t="s">
        <v>27</v>
      </c>
      <c r="D96" s="15" t="s">
        <v>27</v>
      </c>
      <c r="E96" s="15">
        <v>65322</v>
      </c>
      <c r="F96" s="15">
        <v>68187</v>
      </c>
      <c r="G96" s="15">
        <v>69916</v>
      </c>
    </row>
    <row r="97" spans="1:7" x14ac:dyDescent="0.2">
      <c r="A97" s="5" t="s">
        <v>151</v>
      </c>
      <c r="B97" s="20">
        <v>0.28210099999999999</v>
      </c>
      <c r="C97" s="20">
        <v>0.163522</v>
      </c>
      <c r="D97" s="20">
        <v>0.25086000000000003</v>
      </c>
      <c r="E97" s="20">
        <v>0.25396800000000003</v>
      </c>
      <c r="F97" s="20">
        <v>0.22935700000000001</v>
      </c>
      <c r="G97" s="20">
        <v>0.27584599999999998</v>
      </c>
    </row>
    <row r="98" spans="1:7" ht="17" x14ac:dyDescent="0.2">
      <c r="A98" s="5" t="s">
        <v>152</v>
      </c>
      <c r="B98" s="15" t="s">
        <v>27</v>
      </c>
      <c r="C98" s="15" t="s">
        <v>27</v>
      </c>
      <c r="D98" s="15" t="s">
        <v>27</v>
      </c>
      <c r="E98" s="15" t="s">
        <v>27</v>
      </c>
      <c r="F98" s="15" t="s">
        <v>27</v>
      </c>
      <c r="G98" s="15" t="s">
        <v>27</v>
      </c>
    </row>
    <row r="99" spans="1:7" ht="17" x14ac:dyDescent="0.2">
      <c r="A99" s="5" t="s">
        <v>153</v>
      </c>
      <c r="B99" s="15" t="s">
        <v>27</v>
      </c>
      <c r="C99" s="15" t="s">
        <v>27</v>
      </c>
      <c r="D99" s="15" t="s">
        <v>27</v>
      </c>
      <c r="E99" s="15" t="s">
        <v>27</v>
      </c>
      <c r="F99" s="15" t="s">
        <v>27</v>
      </c>
      <c r="G99" s="15" t="s">
        <v>27</v>
      </c>
    </row>
    <row r="100" spans="1:7" x14ac:dyDescent="0.2">
      <c r="A100" s="5" t="s">
        <v>154</v>
      </c>
      <c r="B100" s="15">
        <v>278</v>
      </c>
      <c r="C100" s="15">
        <v>178</v>
      </c>
      <c r="D100" s="15">
        <v>215</v>
      </c>
      <c r="E100" s="15">
        <v>271</v>
      </c>
      <c r="F100" s="15">
        <v>393</v>
      </c>
      <c r="G100" s="15">
        <v>464</v>
      </c>
    </row>
    <row r="101" spans="1:7" ht="17" x14ac:dyDescent="0.2">
      <c r="A101" s="5" t="s">
        <v>155</v>
      </c>
      <c r="B101" s="15" t="s">
        <v>27</v>
      </c>
      <c r="C101" s="15" t="s">
        <v>27</v>
      </c>
      <c r="D101" s="15" t="s">
        <v>27</v>
      </c>
      <c r="E101" s="15" t="s">
        <v>27</v>
      </c>
      <c r="F101" s="15" t="s">
        <v>27</v>
      </c>
      <c r="G101" s="15" t="s">
        <v>27</v>
      </c>
    </row>
    <row r="102" spans="1:7" ht="17" x14ac:dyDescent="0.2">
      <c r="A102" s="5" t="s">
        <v>156</v>
      </c>
      <c r="B102" s="15" t="s">
        <v>27</v>
      </c>
      <c r="C102" s="15" t="s">
        <v>27</v>
      </c>
      <c r="D102" s="15" t="s">
        <v>27</v>
      </c>
      <c r="E102" s="15" t="s">
        <v>27</v>
      </c>
      <c r="F102" s="15" t="s">
        <v>27</v>
      </c>
      <c r="G102" s="15" t="s">
        <v>27</v>
      </c>
    </row>
    <row r="103" spans="1:7" x14ac:dyDescent="0.2">
      <c r="A103" s="5" t="s">
        <v>157</v>
      </c>
      <c r="B103" s="15">
        <v>12</v>
      </c>
      <c r="C103" s="15">
        <v>-74</v>
      </c>
      <c r="D103" s="15">
        <v>295</v>
      </c>
      <c r="E103" s="15">
        <v>-47</v>
      </c>
      <c r="F103" s="15">
        <v>132</v>
      </c>
      <c r="G103" s="15">
        <v>147</v>
      </c>
    </row>
    <row r="104" spans="1:7" x14ac:dyDescent="0.2">
      <c r="A104" s="5"/>
      <c r="B104" s="5"/>
      <c r="C104" s="5"/>
      <c r="D104" s="5"/>
      <c r="E104" s="5"/>
      <c r="F104" s="5"/>
      <c r="G104" s="5"/>
    </row>
    <row r="105" spans="1:7" x14ac:dyDescent="0.2">
      <c r="A105" s="5" t="s">
        <v>158</v>
      </c>
      <c r="B105" s="15">
        <v>1083</v>
      </c>
      <c r="C105" s="15">
        <v>671.625</v>
      </c>
      <c r="D105" s="15">
        <v>1476.125</v>
      </c>
      <c r="E105" s="15">
        <v>1206</v>
      </c>
      <c r="F105" s="15">
        <v>1440.375</v>
      </c>
      <c r="G105" s="15">
        <v>1586</v>
      </c>
    </row>
    <row r="106" spans="1:7" ht="17" x14ac:dyDescent="0.2">
      <c r="A106" s="5" t="s">
        <v>159</v>
      </c>
      <c r="B106" s="15" t="s">
        <v>27</v>
      </c>
      <c r="C106" s="15" t="s">
        <v>27</v>
      </c>
      <c r="D106" s="15" t="s">
        <v>27</v>
      </c>
      <c r="E106" s="15" t="s">
        <v>27</v>
      </c>
      <c r="F106" s="15" t="s">
        <v>27</v>
      </c>
      <c r="G106" s="15" t="s">
        <v>27</v>
      </c>
    </row>
    <row r="107" spans="1:7" x14ac:dyDescent="0.2">
      <c r="A107" s="5" t="s">
        <v>160</v>
      </c>
      <c r="B107" s="15">
        <v>556</v>
      </c>
      <c r="C107" s="15">
        <v>506</v>
      </c>
      <c r="D107" s="15">
        <v>452</v>
      </c>
      <c r="E107" s="15">
        <v>442</v>
      </c>
      <c r="F107" s="15">
        <v>501</v>
      </c>
      <c r="G107" s="15">
        <v>475</v>
      </c>
    </row>
    <row r="108" spans="1:7" x14ac:dyDescent="0.2">
      <c r="A108" s="5" t="s">
        <v>161</v>
      </c>
      <c r="B108" s="15">
        <v>76</v>
      </c>
      <c r="C108" s="15">
        <v>50</v>
      </c>
      <c r="D108" s="15">
        <v>23</v>
      </c>
      <c r="E108" s="15">
        <v>-80</v>
      </c>
      <c r="F108" s="15">
        <v>18</v>
      </c>
      <c r="G108" s="15">
        <v>32</v>
      </c>
    </row>
    <row r="109" spans="1:7" x14ac:dyDescent="0.2">
      <c r="A109" s="5" t="s">
        <v>162</v>
      </c>
      <c r="B109" s="22">
        <v>44300</v>
      </c>
      <c r="C109" s="22">
        <v>44678</v>
      </c>
      <c r="D109" s="22">
        <v>45058</v>
      </c>
      <c r="E109" s="22">
        <v>45422</v>
      </c>
      <c r="F109" s="22">
        <v>45779</v>
      </c>
      <c r="G109" s="22">
        <v>45779</v>
      </c>
    </row>
    <row r="110" spans="1:7" ht="17" x14ac:dyDescent="0.2">
      <c r="A110" s="5" t="s">
        <v>163</v>
      </c>
      <c r="B110" s="23" t="s">
        <v>168</v>
      </c>
      <c r="C110" s="23" t="s">
        <v>166</v>
      </c>
      <c r="D110" s="23" t="s">
        <v>167</v>
      </c>
      <c r="E110" s="23" t="s">
        <v>166</v>
      </c>
      <c r="F110" s="23" t="s">
        <v>167</v>
      </c>
      <c r="G110" s="23" t="s">
        <v>164</v>
      </c>
    </row>
    <row r="111" spans="1:7" ht="17" x14ac:dyDescent="0.2">
      <c r="A111" s="5" t="s">
        <v>169</v>
      </c>
      <c r="B111" s="23" t="s">
        <v>170</v>
      </c>
      <c r="C111" s="23" t="s">
        <v>170</v>
      </c>
      <c r="D111" s="23" t="s">
        <v>170</v>
      </c>
      <c r="E111" s="23" t="s">
        <v>170</v>
      </c>
      <c r="F111" s="23" t="s">
        <v>170</v>
      </c>
      <c r="G111" s="23" t="s">
        <v>170</v>
      </c>
    </row>
    <row r="112" spans="1:7" x14ac:dyDescent="0.2">
      <c r="A112" s="5"/>
      <c r="B112" s="5"/>
      <c r="C112" s="5"/>
      <c r="D112" s="5"/>
      <c r="E112" s="5"/>
      <c r="F112" s="5"/>
      <c r="G112" s="5"/>
    </row>
    <row r="113" spans="1:38" x14ac:dyDescent="0.2">
      <c r="A113" s="14" t="s">
        <v>171</v>
      </c>
      <c r="B113" s="5"/>
      <c r="C113" s="5"/>
      <c r="D113" s="5"/>
      <c r="E113" s="5"/>
      <c r="F113" s="5"/>
      <c r="G113" s="5"/>
    </row>
    <row r="114" spans="1:38" x14ac:dyDescent="0.2">
      <c r="A114" s="5" t="s">
        <v>172</v>
      </c>
      <c r="B114" s="15">
        <v>1141</v>
      </c>
      <c r="C114" s="15">
        <v>1387</v>
      </c>
      <c r="D114" s="15">
        <v>1382</v>
      </c>
      <c r="E114" s="15">
        <v>1735</v>
      </c>
      <c r="F114" s="15">
        <v>2016</v>
      </c>
      <c r="G114" s="15">
        <v>2323</v>
      </c>
    </row>
    <row r="115" spans="1:38" ht="17" x14ac:dyDescent="0.2">
      <c r="A115" s="5" t="s">
        <v>173</v>
      </c>
      <c r="B115" s="15" t="s">
        <v>27</v>
      </c>
      <c r="C115" s="15" t="s">
        <v>27</v>
      </c>
      <c r="D115" s="15" t="s">
        <v>27</v>
      </c>
      <c r="E115" s="15" t="s">
        <v>27</v>
      </c>
      <c r="F115" s="15" t="s">
        <v>27</v>
      </c>
      <c r="G115" s="15" t="s">
        <v>27</v>
      </c>
    </row>
    <row r="116" spans="1:38" x14ac:dyDescent="0.2">
      <c r="A116" s="5" t="s">
        <v>174</v>
      </c>
      <c r="B116" s="15">
        <v>-11</v>
      </c>
      <c r="C116" s="15">
        <v>-3</v>
      </c>
      <c r="D116" s="15">
        <v>7</v>
      </c>
      <c r="E116" s="15">
        <v>3</v>
      </c>
      <c r="F116" s="15">
        <v>2</v>
      </c>
      <c r="G116" s="15">
        <v>-3</v>
      </c>
    </row>
    <row r="117" spans="1:38" x14ac:dyDescent="0.2">
      <c r="A117" s="5" t="s">
        <v>175</v>
      </c>
      <c r="B117" s="15">
        <v>-3.6</v>
      </c>
      <c r="C117" s="15">
        <v>-1</v>
      </c>
      <c r="D117" s="15">
        <v>2.3535119999999998</v>
      </c>
      <c r="E117" s="15">
        <v>1.1181840000000001</v>
      </c>
      <c r="F117" s="15">
        <v>0.86312</v>
      </c>
      <c r="G117" s="15">
        <v>-1.3</v>
      </c>
    </row>
    <row r="118" spans="1:38" ht="17" x14ac:dyDescent="0.2">
      <c r="A118" s="5" t="s">
        <v>176</v>
      </c>
      <c r="B118" s="15" t="s">
        <v>35</v>
      </c>
      <c r="C118" s="15" t="s">
        <v>35</v>
      </c>
      <c r="D118" s="15">
        <v>4.6464879999999997</v>
      </c>
      <c r="E118" s="15">
        <v>1.8818159999999999</v>
      </c>
      <c r="F118" s="15">
        <v>1.1368799999999999</v>
      </c>
      <c r="G118" s="15" t="s">
        <v>35</v>
      </c>
    </row>
    <row r="119" spans="1:38" x14ac:dyDescent="0.2">
      <c r="A119" s="5"/>
      <c r="B119" s="5"/>
      <c r="C119" s="5"/>
      <c r="D119" s="5"/>
      <c r="E119" s="5"/>
      <c r="F119" s="5"/>
      <c r="G119" s="5"/>
    </row>
    <row r="120" spans="1:38" x14ac:dyDescent="0.2">
      <c r="A120" s="5" t="s">
        <v>177</v>
      </c>
      <c r="B120" s="15">
        <v>0</v>
      </c>
      <c r="C120" s="15">
        <v>4</v>
      </c>
      <c r="D120" s="15">
        <v>0</v>
      </c>
      <c r="E120" s="15">
        <v>0</v>
      </c>
      <c r="F120" s="15">
        <v>0</v>
      </c>
      <c r="G120" s="15">
        <v>0</v>
      </c>
    </row>
    <row r="121" spans="1:38" x14ac:dyDescent="0.2">
      <c r="A121" s="5" t="s">
        <v>178</v>
      </c>
      <c r="B121" s="15">
        <v>0</v>
      </c>
      <c r="C121" s="15">
        <v>0</v>
      </c>
      <c r="D121" s="15">
        <v>0</v>
      </c>
      <c r="E121" s="15">
        <v>0</v>
      </c>
      <c r="F121" s="15">
        <v>0</v>
      </c>
      <c r="G121" s="15">
        <v>0</v>
      </c>
    </row>
    <row r="122" spans="1:38" x14ac:dyDescent="0.2">
      <c r="A122" s="5" t="s">
        <v>179</v>
      </c>
      <c r="B122" s="15">
        <v>127</v>
      </c>
      <c r="C122" s="15">
        <v>65</v>
      </c>
      <c r="D122" s="15">
        <v>122</v>
      </c>
      <c r="E122" s="15">
        <v>110</v>
      </c>
      <c r="F122" s="15">
        <v>120</v>
      </c>
      <c r="G122" s="15">
        <v>131</v>
      </c>
    </row>
    <row r="123" spans="1:38" x14ac:dyDescent="0.2">
      <c r="A123" s="14" t="s">
        <v>180</v>
      </c>
      <c r="B123" s="17">
        <v>127</v>
      </c>
      <c r="C123" s="17">
        <v>69</v>
      </c>
      <c r="D123" s="17">
        <v>122</v>
      </c>
      <c r="E123" s="17">
        <v>110</v>
      </c>
      <c r="F123" s="17">
        <v>120</v>
      </c>
      <c r="G123" s="17">
        <v>131</v>
      </c>
    </row>
    <row r="124" spans="1:38" x14ac:dyDescent="0.2">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row>
    <row r="125" spans="1:38" x14ac:dyDescent="0.2">
      <c r="A125" s="24" t="s">
        <v>181</v>
      </c>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c r="AH125" s="25"/>
      <c r="AI125" s="25"/>
      <c r="AJ125" s="25"/>
      <c r="AK125" s="25"/>
      <c r="AL125" s="25"/>
    </row>
    <row r="126" spans="1:38" x14ac:dyDescent="0.2">
      <c r="A126" s="2" t="s">
        <v>182</v>
      </c>
    </row>
    <row r="127" spans="1:38" x14ac:dyDescent="0.2">
      <c r="A127" s="2" t="s">
        <v>183</v>
      </c>
    </row>
    <row r="128" spans="1:38" x14ac:dyDescent="0.2">
      <c r="A128" s="26" t="s">
        <v>184</v>
      </c>
    </row>
    <row r="129" spans="1:1" x14ac:dyDescent="0.2">
      <c r="A129" s="27" t="s">
        <v>73</v>
      </c>
    </row>
    <row r="131" spans="1:1" x14ac:dyDescent="0.2">
      <c r="A131" s="30"/>
    </row>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C187F-3D0E-D04C-B355-FEC51ACD4071}">
  <dimension ref="A5:HU208"/>
  <sheetViews>
    <sheetView topLeftCell="A18" workbookViewId="0">
      <selection activeCell="J37" sqref="J37"/>
    </sheetView>
  </sheetViews>
  <sheetFormatPr baseColWidth="10" defaultRowHeight="16" x14ac:dyDescent="0.2"/>
  <cols>
    <col min="1" max="1" width="45.83203125" style="2" customWidth="1"/>
    <col min="2" max="33" width="14.83203125" style="2" customWidth="1"/>
    <col min="34" max="256" width="8.83203125" style="2" customWidth="1"/>
    <col min="257" max="257" width="45.83203125" style="2" customWidth="1"/>
    <col min="258" max="289" width="14.83203125" style="2" customWidth="1"/>
    <col min="290" max="512" width="8.83203125" style="2" customWidth="1"/>
    <col min="513" max="513" width="45.83203125" style="2" customWidth="1"/>
    <col min="514" max="545" width="14.83203125" style="2" customWidth="1"/>
    <col min="546" max="768" width="8.83203125" style="2" customWidth="1"/>
    <col min="769" max="769" width="45.83203125" style="2" customWidth="1"/>
    <col min="770" max="801" width="14.83203125" style="2" customWidth="1"/>
    <col min="802" max="1024" width="8.83203125" style="2" customWidth="1"/>
    <col min="1025" max="1025" width="45.83203125" style="2" customWidth="1"/>
    <col min="1026" max="1057" width="14.83203125" style="2" customWidth="1"/>
    <col min="1058" max="1280" width="8.83203125" style="2" customWidth="1"/>
    <col min="1281" max="1281" width="45.83203125" style="2" customWidth="1"/>
    <col min="1282" max="1313" width="14.83203125" style="2" customWidth="1"/>
    <col min="1314" max="1536" width="8.83203125" style="2" customWidth="1"/>
    <col min="1537" max="1537" width="45.83203125" style="2" customWidth="1"/>
    <col min="1538" max="1569" width="14.83203125" style="2" customWidth="1"/>
    <col min="1570" max="1792" width="8.83203125" style="2" customWidth="1"/>
    <col min="1793" max="1793" width="45.83203125" style="2" customWidth="1"/>
    <col min="1794" max="1825" width="14.83203125" style="2" customWidth="1"/>
    <col min="1826" max="2048" width="8.83203125" style="2" customWidth="1"/>
    <col min="2049" max="2049" width="45.83203125" style="2" customWidth="1"/>
    <col min="2050" max="2081" width="14.83203125" style="2" customWidth="1"/>
    <col min="2082" max="2304" width="8.83203125" style="2" customWidth="1"/>
    <col min="2305" max="2305" width="45.83203125" style="2" customWidth="1"/>
    <col min="2306" max="2337" width="14.83203125" style="2" customWidth="1"/>
    <col min="2338" max="2560" width="8.83203125" style="2" customWidth="1"/>
    <col min="2561" max="2561" width="45.83203125" style="2" customWidth="1"/>
    <col min="2562" max="2593" width="14.83203125" style="2" customWidth="1"/>
    <col min="2594" max="2816" width="8.83203125" style="2" customWidth="1"/>
    <col min="2817" max="2817" width="45.83203125" style="2" customWidth="1"/>
    <col min="2818" max="2849" width="14.83203125" style="2" customWidth="1"/>
    <col min="2850" max="3072" width="8.83203125" style="2" customWidth="1"/>
    <col min="3073" max="3073" width="45.83203125" style="2" customWidth="1"/>
    <col min="3074" max="3105" width="14.83203125" style="2" customWidth="1"/>
    <col min="3106" max="3328" width="8.83203125" style="2" customWidth="1"/>
    <col min="3329" max="3329" width="45.83203125" style="2" customWidth="1"/>
    <col min="3330" max="3361" width="14.83203125" style="2" customWidth="1"/>
    <col min="3362" max="3584" width="8.83203125" style="2" customWidth="1"/>
    <col min="3585" max="3585" width="45.83203125" style="2" customWidth="1"/>
    <col min="3586" max="3617" width="14.83203125" style="2" customWidth="1"/>
    <col min="3618" max="3840" width="8.83203125" style="2" customWidth="1"/>
    <col min="3841" max="3841" width="45.83203125" style="2" customWidth="1"/>
    <col min="3842" max="3873" width="14.83203125" style="2" customWidth="1"/>
    <col min="3874" max="4096" width="8.83203125" style="2" customWidth="1"/>
    <col min="4097" max="4097" width="45.83203125" style="2" customWidth="1"/>
    <col min="4098" max="4129" width="14.83203125" style="2" customWidth="1"/>
    <col min="4130" max="4352" width="8.83203125" style="2" customWidth="1"/>
    <col min="4353" max="4353" width="45.83203125" style="2" customWidth="1"/>
    <col min="4354" max="4385" width="14.83203125" style="2" customWidth="1"/>
    <col min="4386" max="4608" width="8.83203125" style="2" customWidth="1"/>
    <col min="4609" max="4609" width="45.83203125" style="2" customWidth="1"/>
    <col min="4610" max="4641" width="14.83203125" style="2" customWidth="1"/>
    <col min="4642" max="4864" width="8.83203125" style="2" customWidth="1"/>
    <col min="4865" max="4865" width="45.83203125" style="2" customWidth="1"/>
    <col min="4866" max="4897" width="14.83203125" style="2" customWidth="1"/>
    <col min="4898" max="5120" width="8.83203125" style="2" customWidth="1"/>
    <col min="5121" max="5121" width="45.83203125" style="2" customWidth="1"/>
    <col min="5122" max="5153" width="14.83203125" style="2" customWidth="1"/>
    <col min="5154" max="5376" width="8.83203125" style="2" customWidth="1"/>
    <col min="5377" max="5377" width="45.83203125" style="2" customWidth="1"/>
    <col min="5378" max="5409" width="14.83203125" style="2" customWidth="1"/>
    <col min="5410" max="5632" width="8.83203125" style="2" customWidth="1"/>
    <col min="5633" max="5633" width="45.83203125" style="2" customWidth="1"/>
    <col min="5634" max="5665" width="14.83203125" style="2" customWidth="1"/>
    <col min="5666" max="5888" width="8.83203125" style="2" customWidth="1"/>
    <col min="5889" max="5889" width="45.83203125" style="2" customWidth="1"/>
    <col min="5890" max="5921" width="14.83203125" style="2" customWidth="1"/>
    <col min="5922" max="6144" width="8.83203125" style="2" customWidth="1"/>
    <col min="6145" max="6145" width="45.83203125" style="2" customWidth="1"/>
    <col min="6146" max="6177" width="14.83203125" style="2" customWidth="1"/>
    <col min="6178" max="6400" width="8.83203125" style="2" customWidth="1"/>
    <col min="6401" max="6401" width="45.83203125" style="2" customWidth="1"/>
    <col min="6402" max="6433" width="14.83203125" style="2" customWidth="1"/>
    <col min="6434" max="6656" width="8.83203125" style="2" customWidth="1"/>
    <col min="6657" max="6657" width="45.83203125" style="2" customWidth="1"/>
    <col min="6658" max="6689" width="14.83203125" style="2" customWidth="1"/>
    <col min="6690" max="6912" width="8.83203125" style="2" customWidth="1"/>
    <col min="6913" max="6913" width="45.83203125" style="2" customWidth="1"/>
    <col min="6914" max="6945" width="14.83203125" style="2" customWidth="1"/>
    <col min="6946" max="7168" width="8.83203125" style="2" customWidth="1"/>
    <col min="7169" max="7169" width="45.83203125" style="2" customWidth="1"/>
    <col min="7170" max="7201" width="14.83203125" style="2" customWidth="1"/>
    <col min="7202" max="7424" width="8.83203125" style="2" customWidth="1"/>
    <col min="7425" max="7425" width="45.83203125" style="2" customWidth="1"/>
    <col min="7426" max="7457" width="14.83203125" style="2" customWidth="1"/>
    <col min="7458" max="7680" width="8.83203125" style="2" customWidth="1"/>
    <col min="7681" max="7681" width="45.83203125" style="2" customWidth="1"/>
    <col min="7682" max="7713" width="14.83203125" style="2" customWidth="1"/>
    <col min="7714" max="7936" width="8.83203125" style="2" customWidth="1"/>
    <col min="7937" max="7937" width="45.83203125" style="2" customWidth="1"/>
    <col min="7938" max="7969" width="14.83203125" style="2" customWidth="1"/>
    <col min="7970" max="8192" width="8.83203125" style="2" customWidth="1"/>
    <col min="8193" max="8193" width="45.83203125" style="2" customWidth="1"/>
    <col min="8194" max="8225" width="14.83203125" style="2" customWidth="1"/>
    <col min="8226" max="8448" width="8.83203125" style="2" customWidth="1"/>
    <col min="8449" max="8449" width="45.83203125" style="2" customWidth="1"/>
    <col min="8450" max="8481" width="14.83203125" style="2" customWidth="1"/>
    <col min="8482" max="8704" width="8.83203125" style="2" customWidth="1"/>
    <col min="8705" max="8705" width="45.83203125" style="2" customWidth="1"/>
    <col min="8706" max="8737" width="14.83203125" style="2" customWidth="1"/>
    <col min="8738" max="8960" width="8.83203125" style="2" customWidth="1"/>
    <col min="8961" max="8961" width="45.83203125" style="2" customWidth="1"/>
    <col min="8962" max="8993" width="14.83203125" style="2" customWidth="1"/>
    <col min="8994" max="9216" width="8.83203125" style="2" customWidth="1"/>
    <col min="9217" max="9217" width="45.83203125" style="2" customWidth="1"/>
    <col min="9218" max="9249" width="14.83203125" style="2" customWidth="1"/>
    <col min="9250" max="9472" width="8.83203125" style="2" customWidth="1"/>
    <col min="9473" max="9473" width="45.83203125" style="2" customWidth="1"/>
    <col min="9474" max="9505" width="14.83203125" style="2" customWidth="1"/>
    <col min="9506" max="9728" width="8.83203125" style="2" customWidth="1"/>
    <col min="9729" max="9729" width="45.83203125" style="2" customWidth="1"/>
    <col min="9730" max="9761" width="14.83203125" style="2" customWidth="1"/>
    <col min="9762" max="9984" width="8.83203125" style="2" customWidth="1"/>
    <col min="9985" max="9985" width="45.83203125" style="2" customWidth="1"/>
    <col min="9986" max="10017" width="14.83203125" style="2" customWidth="1"/>
    <col min="10018" max="10240" width="8.83203125" style="2" customWidth="1"/>
    <col min="10241" max="10241" width="45.83203125" style="2" customWidth="1"/>
    <col min="10242" max="10273" width="14.83203125" style="2" customWidth="1"/>
    <col min="10274" max="10496" width="8.83203125" style="2" customWidth="1"/>
    <col min="10497" max="10497" width="45.83203125" style="2" customWidth="1"/>
    <col min="10498" max="10529" width="14.83203125" style="2" customWidth="1"/>
    <col min="10530" max="10752" width="8.83203125" style="2" customWidth="1"/>
    <col min="10753" max="10753" width="45.83203125" style="2" customWidth="1"/>
    <col min="10754" max="10785" width="14.83203125" style="2" customWidth="1"/>
    <col min="10786" max="11008" width="8.83203125" style="2" customWidth="1"/>
    <col min="11009" max="11009" width="45.83203125" style="2" customWidth="1"/>
    <col min="11010" max="11041" width="14.83203125" style="2" customWidth="1"/>
    <col min="11042" max="11264" width="8.83203125" style="2" customWidth="1"/>
    <col min="11265" max="11265" width="45.83203125" style="2" customWidth="1"/>
    <col min="11266" max="11297" width="14.83203125" style="2" customWidth="1"/>
    <col min="11298" max="11520" width="8.83203125" style="2" customWidth="1"/>
    <col min="11521" max="11521" width="45.83203125" style="2" customWidth="1"/>
    <col min="11522" max="11553" width="14.83203125" style="2" customWidth="1"/>
    <col min="11554" max="11776" width="8.83203125" style="2" customWidth="1"/>
    <col min="11777" max="11777" width="45.83203125" style="2" customWidth="1"/>
    <col min="11778" max="11809" width="14.83203125" style="2" customWidth="1"/>
    <col min="11810" max="12032" width="8.83203125" style="2" customWidth="1"/>
    <col min="12033" max="12033" width="45.83203125" style="2" customWidth="1"/>
    <col min="12034" max="12065" width="14.83203125" style="2" customWidth="1"/>
    <col min="12066" max="12288" width="8.83203125" style="2" customWidth="1"/>
    <col min="12289" max="12289" width="45.83203125" style="2" customWidth="1"/>
    <col min="12290" max="12321" width="14.83203125" style="2" customWidth="1"/>
    <col min="12322" max="12544" width="8.83203125" style="2" customWidth="1"/>
    <col min="12545" max="12545" width="45.83203125" style="2" customWidth="1"/>
    <col min="12546" max="12577" width="14.83203125" style="2" customWidth="1"/>
    <col min="12578" max="12800" width="8.83203125" style="2" customWidth="1"/>
    <col min="12801" max="12801" width="45.83203125" style="2" customWidth="1"/>
    <col min="12802" max="12833" width="14.83203125" style="2" customWidth="1"/>
    <col min="12834" max="13056" width="8.83203125" style="2" customWidth="1"/>
    <col min="13057" max="13057" width="45.83203125" style="2" customWidth="1"/>
    <col min="13058" max="13089" width="14.83203125" style="2" customWidth="1"/>
    <col min="13090" max="13312" width="8.83203125" style="2" customWidth="1"/>
    <col min="13313" max="13313" width="45.83203125" style="2" customWidth="1"/>
    <col min="13314" max="13345" width="14.83203125" style="2" customWidth="1"/>
    <col min="13346" max="13568" width="8.83203125" style="2" customWidth="1"/>
    <col min="13569" max="13569" width="45.83203125" style="2" customWidth="1"/>
    <col min="13570" max="13601" width="14.83203125" style="2" customWidth="1"/>
    <col min="13602" max="13824" width="8.83203125" style="2" customWidth="1"/>
    <col min="13825" max="13825" width="45.83203125" style="2" customWidth="1"/>
    <col min="13826" max="13857" width="14.83203125" style="2" customWidth="1"/>
    <col min="13858" max="14080" width="8.83203125" style="2" customWidth="1"/>
    <col min="14081" max="14081" width="45.83203125" style="2" customWidth="1"/>
    <col min="14082" max="14113" width="14.83203125" style="2" customWidth="1"/>
    <col min="14114" max="14336" width="8.83203125" style="2" customWidth="1"/>
    <col min="14337" max="14337" width="45.83203125" style="2" customWidth="1"/>
    <col min="14338" max="14369" width="14.83203125" style="2" customWidth="1"/>
    <col min="14370" max="14592" width="8.83203125" style="2" customWidth="1"/>
    <col min="14593" max="14593" width="45.83203125" style="2" customWidth="1"/>
    <col min="14594" max="14625" width="14.83203125" style="2" customWidth="1"/>
    <col min="14626" max="14848" width="8.83203125" style="2" customWidth="1"/>
    <col min="14849" max="14849" width="45.83203125" style="2" customWidth="1"/>
    <col min="14850" max="14881" width="14.83203125" style="2" customWidth="1"/>
    <col min="14882" max="15104" width="8.83203125" style="2" customWidth="1"/>
    <col min="15105" max="15105" width="45.83203125" style="2" customWidth="1"/>
    <col min="15106" max="15137" width="14.83203125" style="2" customWidth="1"/>
    <col min="15138" max="15360" width="8.83203125" style="2" customWidth="1"/>
    <col min="15361" max="15361" width="45.83203125" style="2" customWidth="1"/>
    <col min="15362" max="15393" width="14.83203125" style="2" customWidth="1"/>
    <col min="15394" max="15616" width="8.83203125" style="2" customWidth="1"/>
    <col min="15617" max="15617" width="45.83203125" style="2" customWidth="1"/>
    <col min="15618" max="15649" width="14.83203125" style="2" customWidth="1"/>
    <col min="15650" max="15872" width="8.83203125" style="2" customWidth="1"/>
    <col min="15873" max="15873" width="45.83203125" style="2" customWidth="1"/>
    <col min="15874" max="15905" width="14.83203125" style="2" customWidth="1"/>
    <col min="15906" max="16128" width="8.83203125" style="2" customWidth="1"/>
    <col min="16129" max="16129" width="45.83203125" style="2" customWidth="1"/>
    <col min="16130" max="16161" width="14.83203125" style="2" customWidth="1"/>
    <col min="16162" max="16384" width="8.83203125" style="2" customWidth="1"/>
  </cols>
  <sheetData>
    <row r="5" spans="1:229" x14ac:dyDescent="0.2">
      <c r="A5" s="1" t="s">
        <v>522</v>
      </c>
    </row>
    <row r="7" spans="1:229" ht="34" x14ac:dyDescent="0.2">
      <c r="A7" s="3" t="s">
        <v>75</v>
      </c>
      <c r="B7" s="4" t="s">
        <v>78</v>
      </c>
      <c r="C7" s="2" t="s">
        <v>79</v>
      </c>
      <c r="D7" s="5" t="s">
        <v>4</v>
      </c>
      <c r="E7" s="4" t="s">
        <v>80</v>
      </c>
      <c r="F7" s="2" t="s">
        <v>81</v>
      </c>
    </row>
    <row r="8" spans="1:229" x14ac:dyDescent="0.2">
      <c r="A8" s="5"/>
      <c r="B8" s="4" t="s">
        <v>2</v>
      </c>
      <c r="C8" s="2" t="s">
        <v>82</v>
      </c>
      <c r="D8" s="5" t="s">
        <v>4</v>
      </c>
      <c r="E8" s="4" t="s">
        <v>5</v>
      </c>
      <c r="F8" s="2" t="s">
        <v>6</v>
      </c>
    </row>
    <row r="9" spans="1:229" x14ac:dyDescent="0.2">
      <c r="A9" s="5"/>
      <c r="B9" s="4" t="s">
        <v>7</v>
      </c>
      <c r="C9" s="2" t="s">
        <v>8</v>
      </c>
      <c r="D9" s="5" t="s">
        <v>4</v>
      </c>
      <c r="E9" s="4" t="s">
        <v>9</v>
      </c>
      <c r="F9" s="2" t="s">
        <v>10</v>
      </c>
    </row>
    <row r="10" spans="1:229" x14ac:dyDescent="0.2">
      <c r="A10" s="5"/>
      <c r="B10" s="4" t="s">
        <v>11</v>
      </c>
      <c r="C10" s="6" t="s">
        <v>12</v>
      </c>
      <c r="D10" s="5" t="s">
        <v>4</v>
      </c>
      <c r="E10" s="4" t="s">
        <v>83</v>
      </c>
      <c r="F10" s="2" t="s">
        <v>84</v>
      </c>
    </row>
    <row r="13" spans="1:229" x14ac:dyDescent="0.2">
      <c r="A13" s="8" t="s">
        <v>523</v>
      </c>
      <c r="B13" s="8"/>
      <c r="C13" s="8"/>
      <c r="D13" s="8"/>
      <c r="E13" s="8"/>
      <c r="F13" s="8"/>
      <c r="G13" s="8"/>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9"/>
      <c r="GM13" s="9"/>
      <c r="GN13" s="9"/>
      <c r="GO13" s="9"/>
      <c r="GP13" s="9"/>
      <c r="GQ13" s="9"/>
      <c r="GR13" s="9"/>
      <c r="GS13" s="9"/>
      <c r="GT13" s="9"/>
      <c r="GU13" s="9"/>
      <c r="GV13" s="9"/>
      <c r="GW13" s="9"/>
      <c r="GX13" s="9"/>
      <c r="GY13" s="9"/>
      <c r="GZ13" s="9"/>
      <c r="HA13" s="9"/>
      <c r="HB13" s="9"/>
      <c r="HC13" s="9"/>
      <c r="HD13" s="9"/>
      <c r="HE13" s="9"/>
      <c r="HF13" s="9"/>
      <c r="HG13" s="9"/>
      <c r="HH13" s="9"/>
      <c r="HI13" s="9"/>
      <c r="HJ13" s="9"/>
      <c r="HK13" s="9"/>
      <c r="HL13" s="9"/>
      <c r="HM13" s="9"/>
      <c r="HN13" s="9"/>
      <c r="HO13" s="9"/>
      <c r="HP13" s="9"/>
      <c r="HQ13" s="9"/>
      <c r="HR13" s="9"/>
      <c r="HS13" s="9"/>
      <c r="HT13" s="9"/>
      <c r="HU13" s="9"/>
    </row>
    <row r="14" spans="1:229" ht="34" x14ac:dyDescent="0.2">
      <c r="A14" s="10" t="s">
        <v>16</v>
      </c>
      <c r="B14" s="11" t="s">
        <v>395</v>
      </c>
      <c r="C14" s="11" t="s">
        <v>396</v>
      </c>
      <c r="D14" s="11" t="s">
        <v>275</v>
      </c>
      <c r="E14" s="11" t="s">
        <v>397</v>
      </c>
      <c r="F14" s="11" t="s">
        <v>276</v>
      </c>
      <c r="G14" s="11" t="s">
        <v>91</v>
      </c>
    </row>
    <row r="15" spans="1:229" ht="17" x14ac:dyDescent="0.2">
      <c r="A15" s="12" t="s">
        <v>23</v>
      </c>
      <c r="B15" s="13" t="s">
        <v>24</v>
      </c>
      <c r="C15" s="13" t="s">
        <v>24</v>
      </c>
      <c r="D15" s="13" t="s">
        <v>24</v>
      </c>
      <c r="E15" s="13" t="s">
        <v>24</v>
      </c>
      <c r="F15" s="13" t="s">
        <v>24</v>
      </c>
      <c r="G15" s="13" t="s">
        <v>24</v>
      </c>
    </row>
    <row r="16" spans="1:229" x14ac:dyDescent="0.2">
      <c r="A16" s="14" t="s">
        <v>524</v>
      </c>
      <c r="B16" s="5"/>
      <c r="C16" s="5"/>
      <c r="D16" s="5"/>
      <c r="E16" s="5"/>
      <c r="F16" s="5"/>
      <c r="G16" s="5"/>
    </row>
    <row r="17" spans="1:7" x14ac:dyDescent="0.2">
      <c r="A17" s="14" t="s">
        <v>525</v>
      </c>
      <c r="B17" s="5"/>
      <c r="C17" s="5"/>
      <c r="D17" s="5"/>
      <c r="E17" s="5"/>
      <c r="F17" s="5"/>
      <c r="G17" s="5"/>
    </row>
    <row r="18" spans="1:7" x14ac:dyDescent="0.2">
      <c r="A18" s="5" t="s">
        <v>526</v>
      </c>
      <c r="B18" s="15">
        <v>40</v>
      </c>
      <c r="C18" s="15">
        <v>41</v>
      </c>
      <c r="D18" s="15">
        <v>39</v>
      </c>
      <c r="E18" s="15">
        <v>24</v>
      </c>
      <c r="F18" s="15">
        <v>15</v>
      </c>
      <c r="G18" s="15">
        <v>17</v>
      </c>
    </row>
    <row r="19" spans="1:7" x14ac:dyDescent="0.2">
      <c r="A19" s="5" t="s">
        <v>527</v>
      </c>
      <c r="B19" s="15">
        <v>480</v>
      </c>
      <c r="C19" s="15">
        <v>384</v>
      </c>
      <c r="D19" s="15">
        <v>413</v>
      </c>
      <c r="E19" s="15">
        <v>527</v>
      </c>
      <c r="F19" s="15">
        <v>637</v>
      </c>
      <c r="G19" s="15">
        <v>633</v>
      </c>
    </row>
    <row r="20" spans="1:7" x14ac:dyDescent="0.2">
      <c r="A20" s="5" t="s">
        <v>528</v>
      </c>
      <c r="B20" s="15">
        <v>-409</v>
      </c>
      <c r="C20" s="15">
        <v>-341</v>
      </c>
      <c r="D20" s="15">
        <v>-391</v>
      </c>
      <c r="E20" s="15">
        <v>-607</v>
      </c>
      <c r="F20" s="15">
        <v>-619</v>
      </c>
      <c r="G20" s="15">
        <v>-601</v>
      </c>
    </row>
    <row r="21" spans="1:7" ht="17" x14ac:dyDescent="0.2">
      <c r="A21" s="5" t="s">
        <v>529</v>
      </c>
      <c r="B21" s="15">
        <v>5</v>
      </c>
      <c r="C21" s="15">
        <v>7</v>
      </c>
      <c r="D21" s="15">
        <v>1</v>
      </c>
      <c r="E21" s="15" t="s">
        <v>52</v>
      </c>
      <c r="F21" s="15" t="s">
        <v>52</v>
      </c>
      <c r="G21" s="15" t="s">
        <v>52</v>
      </c>
    </row>
    <row r="22" spans="1:7" x14ac:dyDescent="0.2">
      <c r="A22" s="14" t="s">
        <v>530</v>
      </c>
      <c r="B22" s="16">
        <v>116</v>
      </c>
      <c r="C22" s="16">
        <v>91</v>
      </c>
      <c r="D22" s="16">
        <v>62</v>
      </c>
      <c r="E22" s="16">
        <v>-56</v>
      </c>
      <c r="F22" s="16">
        <v>33</v>
      </c>
      <c r="G22" s="16">
        <v>49</v>
      </c>
    </row>
    <row r="23" spans="1:7" x14ac:dyDescent="0.2">
      <c r="A23" s="5"/>
      <c r="B23" s="5"/>
      <c r="C23" s="5"/>
      <c r="D23" s="5"/>
      <c r="E23" s="5"/>
      <c r="F23" s="5"/>
      <c r="G23" s="5"/>
    </row>
    <row r="24" spans="1:7" x14ac:dyDescent="0.2">
      <c r="A24" s="5" t="s">
        <v>531</v>
      </c>
      <c r="B24" s="15">
        <v>329</v>
      </c>
      <c r="C24" s="15">
        <v>347</v>
      </c>
      <c r="D24" s="15">
        <v>361</v>
      </c>
      <c r="E24" s="15">
        <v>375</v>
      </c>
      <c r="F24" s="15">
        <v>415</v>
      </c>
      <c r="G24" s="15">
        <v>454</v>
      </c>
    </row>
    <row r="25" spans="1:7" x14ac:dyDescent="0.2">
      <c r="A25" s="14" t="s">
        <v>532</v>
      </c>
      <c r="B25" s="16">
        <v>445</v>
      </c>
      <c r="C25" s="16">
        <v>438</v>
      </c>
      <c r="D25" s="16">
        <v>423</v>
      </c>
      <c r="E25" s="16">
        <v>319</v>
      </c>
      <c r="F25" s="16">
        <v>448</v>
      </c>
      <c r="G25" s="16">
        <v>503</v>
      </c>
    </row>
    <row r="26" spans="1:7" x14ac:dyDescent="0.2">
      <c r="A26" s="5"/>
      <c r="B26" s="5"/>
      <c r="C26" s="5"/>
      <c r="D26" s="5"/>
      <c r="E26" s="5"/>
      <c r="F26" s="5"/>
      <c r="G26" s="5"/>
    </row>
    <row r="27" spans="1:7" x14ac:dyDescent="0.2">
      <c r="A27" s="14" t="s">
        <v>533</v>
      </c>
      <c r="B27" s="5"/>
      <c r="C27" s="5"/>
      <c r="D27" s="5"/>
      <c r="E27" s="5"/>
      <c r="F27" s="5"/>
      <c r="G27" s="5"/>
    </row>
    <row r="28" spans="1:7" x14ac:dyDescent="0.2">
      <c r="A28" s="5" t="s">
        <v>534</v>
      </c>
      <c r="B28" s="15">
        <v>17862</v>
      </c>
      <c r="C28" s="15">
        <v>20510</v>
      </c>
      <c r="D28" s="15">
        <v>21304</v>
      </c>
      <c r="E28" s="15">
        <v>19543</v>
      </c>
      <c r="F28" s="15">
        <v>13416</v>
      </c>
      <c r="G28" s="15">
        <v>12787</v>
      </c>
    </row>
    <row r="29" spans="1:7" x14ac:dyDescent="0.2">
      <c r="A29" s="5" t="s">
        <v>535</v>
      </c>
      <c r="B29" s="15">
        <v>40</v>
      </c>
      <c r="C29" s="15">
        <v>41</v>
      </c>
      <c r="D29" s="15">
        <v>39</v>
      </c>
      <c r="E29" s="15">
        <v>24</v>
      </c>
      <c r="F29" s="15">
        <v>15</v>
      </c>
      <c r="G29" s="15">
        <v>17</v>
      </c>
    </row>
    <row r="30" spans="1:7" x14ac:dyDescent="0.2">
      <c r="A30" s="5" t="s">
        <v>536</v>
      </c>
      <c r="B30" s="15">
        <v>480</v>
      </c>
      <c r="C30" s="15">
        <v>384</v>
      </c>
      <c r="D30" s="15">
        <v>413</v>
      </c>
      <c r="E30" s="15">
        <v>527</v>
      </c>
      <c r="F30" s="15">
        <v>637</v>
      </c>
      <c r="G30" s="15">
        <v>633</v>
      </c>
    </row>
    <row r="31" spans="1:7" ht="17" x14ac:dyDescent="0.2">
      <c r="A31" s="5" t="s">
        <v>537</v>
      </c>
      <c r="B31" s="15">
        <v>2</v>
      </c>
      <c r="C31" s="15">
        <v>2</v>
      </c>
      <c r="D31" s="15">
        <v>2</v>
      </c>
      <c r="E31" s="15" t="s">
        <v>52</v>
      </c>
      <c r="F31" s="15" t="s">
        <v>52</v>
      </c>
      <c r="G31" s="15" t="s">
        <v>52</v>
      </c>
    </row>
    <row r="32" spans="1:7" x14ac:dyDescent="0.2">
      <c r="A32" s="5" t="s">
        <v>538</v>
      </c>
      <c r="B32" s="15">
        <v>2624</v>
      </c>
      <c r="C32" s="15">
        <v>821</v>
      </c>
      <c r="D32" s="15">
        <v>-1690</v>
      </c>
      <c r="E32" s="15">
        <v>-6180</v>
      </c>
      <c r="F32" s="15">
        <v>-799</v>
      </c>
      <c r="G32" s="15">
        <v>-936</v>
      </c>
    </row>
    <row r="33" spans="1:7" x14ac:dyDescent="0.2">
      <c r="A33" s="5" t="s">
        <v>539</v>
      </c>
      <c r="B33" s="15">
        <v>-498</v>
      </c>
      <c r="C33" s="15">
        <v>-436</v>
      </c>
      <c r="D33" s="15">
        <v>-505</v>
      </c>
      <c r="E33" s="15">
        <v>-516</v>
      </c>
      <c r="F33" s="15">
        <v>-472</v>
      </c>
      <c r="G33" s="15">
        <v>-530</v>
      </c>
    </row>
    <row r="34" spans="1:7" x14ac:dyDescent="0.2">
      <c r="A34" s="5" t="s">
        <v>540</v>
      </c>
      <c r="B34" s="15">
        <v>-5</v>
      </c>
      <c r="C34" s="15">
        <v>4</v>
      </c>
      <c r="D34" s="15">
        <v>-13</v>
      </c>
      <c r="E34" s="15">
        <v>18</v>
      </c>
      <c r="F34" s="15">
        <v>-10</v>
      </c>
      <c r="G34" s="15">
        <v>-8</v>
      </c>
    </row>
    <row r="35" spans="1:7" ht="17" x14ac:dyDescent="0.2">
      <c r="A35" s="5" t="s">
        <v>541</v>
      </c>
      <c r="B35" s="15" t="s">
        <v>52</v>
      </c>
      <c r="C35" s="15" t="s">
        <v>52</v>
      </c>
      <c r="D35" s="15" t="s">
        <v>52</v>
      </c>
      <c r="E35" s="15" t="s">
        <v>52</v>
      </c>
      <c r="F35" s="15" t="s">
        <v>52</v>
      </c>
      <c r="G35" s="15" t="s">
        <v>52</v>
      </c>
    </row>
    <row r="36" spans="1:7" ht="17" x14ac:dyDescent="0.2">
      <c r="A36" s="5" t="s">
        <v>542</v>
      </c>
      <c r="B36" s="15" t="s">
        <v>52</v>
      </c>
      <c r="C36" s="15" t="s">
        <v>52</v>
      </c>
      <c r="D36" s="15">
        <v>-7</v>
      </c>
      <c r="E36" s="15" t="s">
        <v>52</v>
      </c>
      <c r="F36" s="15" t="s">
        <v>52</v>
      </c>
      <c r="G36" s="15" t="s">
        <v>52</v>
      </c>
    </row>
    <row r="37" spans="1:7" ht="17" x14ac:dyDescent="0.2">
      <c r="A37" s="5" t="s">
        <v>543</v>
      </c>
      <c r="B37" s="15">
        <v>5</v>
      </c>
      <c r="C37" s="15">
        <v>-22</v>
      </c>
      <c r="D37" s="15" t="s">
        <v>52</v>
      </c>
      <c r="E37" s="15" t="s">
        <v>52</v>
      </c>
      <c r="F37" s="15" t="s">
        <v>52</v>
      </c>
      <c r="G37" s="15" t="s">
        <v>52</v>
      </c>
    </row>
    <row r="38" spans="1:7" x14ac:dyDescent="0.2">
      <c r="A38" s="5" t="s">
        <v>544</v>
      </c>
      <c r="B38" s="15">
        <v>20510</v>
      </c>
      <c r="C38" s="15">
        <v>21304</v>
      </c>
      <c r="D38" s="15">
        <v>19543</v>
      </c>
      <c r="E38" s="15">
        <v>13416</v>
      </c>
      <c r="F38" s="15">
        <v>12787</v>
      </c>
      <c r="G38" s="15">
        <v>11963</v>
      </c>
    </row>
    <row r="39" spans="1:7" x14ac:dyDescent="0.2">
      <c r="A39" s="5"/>
      <c r="B39" s="5"/>
      <c r="C39" s="5"/>
      <c r="D39" s="5"/>
      <c r="E39" s="5"/>
      <c r="F39" s="5"/>
      <c r="G39" s="5"/>
    </row>
    <row r="40" spans="1:7" x14ac:dyDescent="0.2">
      <c r="A40" s="14" t="s">
        <v>545</v>
      </c>
      <c r="B40" s="5"/>
      <c r="C40" s="5"/>
      <c r="D40" s="5"/>
      <c r="E40" s="5"/>
      <c r="F40" s="5"/>
      <c r="G40" s="5"/>
    </row>
    <row r="41" spans="1:7" x14ac:dyDescent="0.2">
      <c r="A41" s="5" t="s">
        <v>546</v>
      </c>
      <c r="B41" s="15">
        <v>15054</v>
      </c>
      <c r="C41" s="15">
        <v>17425</v>
      </c>
      <c r="D41" s="15">
        <v>20082</v>
      </c>
      <c r="E41" s="15">
        <v>22390</v>
      </c>
      <c r="F41" s="15">
        <v>13025</v>
      </c>
      <c r="G41" s="15">
        <v>12156</v>
      </c>
    </row>
    <row r="42" spans="1:7" x14ac:dyDescent="0.2">
      <c r="A42" s="5" t="s">
        <v>547</v>
      </c>
      <c r="B42" s="15">
        <v>2567</v>
      </c>
      <c r="C42" s="15">
        <v>205</v>
      </c>
      <c r="D42" s="15">
        <v>2776</v>
      </c>
      <c r="E42" s="15">
        <v>-8911</v>
      </c>
      <c r="F42" s="15">
        <v>-431</v>
      </c>
      <c r="G42" s="15">
        <v>51</v>
      </c>
    </row>
    <row r="43" spans="1:7" x14ac:dyDescent="0.2">
      <c r="A43" s="5" t="s">
        <v>548</v>
      </c>
      <c r="B43" s="15">
        <v>298</v>
      </c>
      <c r="C43" s="15">
        <v>2870</v>
      </c>
      <c r="D43" s="15">
        <v>49</v>
      </c>
      <c r="E43" s="15">
        <v>44</v>
      </c>
      <c r="F43" s="15">
        <v>39</v>
      </c>
      <c r="G43" s="15">
        <v>40</v>
      </c>
    </row>
    <row r="44" spans="1:7" ht="17" x14ac:dyDescent="0.2">
      <c r="A44" s="5" t="s">
        <v>549</v>
      </c>
      <c r="B44" s="15">
        <v>2</v>
      </c>
      <c r="C44" s="15">
        <v>2</v>
      </c>
      <c r="D44" s="15">
        <v>2</v>
      </c>
      <c r="E44" s="15" t="s">
        <v>52</v>
      </c>
      <c r="F44" s="15" t="s">
        <v>52</v>
      </c>
      <c r="G44" s="15" t="s">
        <v>52</v>
      </c>
    </row>
    <row r="45" spans="1:7" x14ac:dyDescent="0.2">
      <c r="A45" s="5" t="s">
        <v>550</v>
      </c>
      <c r="B45" s="15">
        <v>-493</v>
      </c>
      <c r="C45" s="15">
        <v>-421</v>
      </c>
      <c r="D45" s="15">
        <v>-502</v>
      </c>
      <c r="E45" s="15">
        <v>-513</v>
      </c>
      <c r="F45" s="15">
        <v>-467</v>
      </c>
      <c r="G45" s="15">
        <v>-523</v>
      </c>
    </row>
    <row r="46" spans="1:7" x14ac:dyDescent="0.2">
      <c r="A46" s="5" t="s">
        <v>551</v>
      </c>
      <c r="B46" s="15">
        <v>-3</v>
      </c>
      <c r="C46" s="15">
        <v>1</v>
      </c>
      <c r="D46" s="15">
        <v>-9</v>
      </c>
      <c r="E46" s="15">
        <v>15</v>
      </c>
      <c r="F46" s="15">
        <v>-10</v>
      </c>
      <c r="G46" s="15">
        <v>-9</v>
      </c>
    </row>
    <row r="47" spans="1:7" ht="17" x14ac:dyDescent="0.2">
      <c r="A47" s="5" t="s">
        <v>552</v>
      </c>
      <c r="B47" s="15" t="s">
        <v>52</v>
      </c>
      <c r="C47" s="15" t="s">
        <v>52</v>
      </c>
      <c r="D47" s="15" t="s">
        <v>52</v>
      </c>
      <c r="E47" s="15" t="s">
        <v>52</v>
      </c>
      <c r="F47" s="15" t="s">
        <v>52</v>
      </c>
      <c r="G47" s="15" t="s">
        <v>52</v>
      </c>
    </row>
    <row r="48" spans="1:7" ht="17" x14ac:dyDescent="0.2">
      <c r="A48" s="5" t="s">
        <v>553</v>
      </c>
      <c r="B48" s="15" t="s">
        <v>52</v>
      </c>
      <c r="C48" s="15" t="s">
        <v>52</v>
      </c>
      <c r="D48" s="15">
        <v>-8</v>
      </c>
      <c r="E48" s="15" t="s">
        <v>52</v>
      </c>
      <c r="F48" s="15" t="s">
        <v>52</v>
      </c>
      <c r="G48" s="15" t="s">
        <v>52</v>
      </c>
    </row>
    <row r="49" spans="1:7" ht="17" x14ac:dyDescent="0.2">
      <c r="A49" s="5" t="s">
        <v>554</v>
      </c>
      <c r="B49" s="15" t="s">
        <v>52</v>
      </c>
      <c r="C49" s="15" t="s">
        <v>52</v>
      </c>
      <c r="D49" s="15" t="s">
        <v>52</v>
      </c>
      <c r="E49" s="15" t="s">
        <v>52</v>
      </c>
      <c r="F49" s="15" t="s">
        <v>52</v>
      </c>
      <c r="G49" s="15" t="s">
        <v>52</v>
      </c>
    </row>
    <row r="50" spans="1:7" x14ac:dyDescent="0.2">
      <c r="A50" s="14" t="s">
        <v>555</v>
      </c>
      <c r="B50" s="16">
        <v>17425</v>
      </c>
      <c r="C50" s="16">
        <v>20082</v>
      </c>
      <c r="D50" s="16">
        <v>22390</v>
      </c>
      <c r="E50" s="16">
        <v>13025</v>
      </c>
      <c r="F50" s="16">
        <v>12156</v>
      </c>
      <c r="G50" s="16">
        <v>11715</v>
      </c>
    </row>
    <row r="51" spans="1:7" x14ac:dyDescent="0.2">
      <c r="A51" s="5"/>
      <c r="B51" s="5"/>
      <c r="C51" s="5"/>
      <c r="D51" s="5"/>
      <c r="E51" s="5"/>
      <c r="F51" s="5"/>
      <c r="G51" s="5"/>
    </row>
    <row r="52" spans="1:7" x14ac:dyDescent="0.2">
      <c r="A52" s="14" t="s">
        <v>556</v>
      </c>
      <c r="B52" s="5"/>
      <c r="C52" s="5"/>
      <c r="D52" s="5"/>
      <c r="E52" s="5"/>
      <c r="F52" s="5"/>
      <c r="G52" s="5"/>
    </row>
    <row r="53" spans="1:7" x14ac:dyDescent="0.2">
      <c r="A53" s="5" t="s">
        <v>557</v>
      </c>
      <c r="B53" s="20">
        <v>1.9E-2</v>
      </c>
      <c r="C53" s="20">
        <v>0.02</v>
      </c>
      <c r="D53" s="20">
        <v>2.8000000000000001E-2</v>
      </c>
      <c r="E53" s="20">
        <v>4.9000000000000002E-2</v>
      </c>
      <c r="F53" s="20">
        <v>5.0999999999999997E-2</v>
      </c>
      <c r="G53" s="20">
        <v>5.7000000000000002E-2</v>
      </c>
    </row>
    <row r="54" spans="1:7" x14ac:dyDescent="0.2">
      <c r="A54" s="5" t="s">
        <v>558</v>
      </c>
      <c r="B54" s="20">
        <v>1.9E-2</v>
      </c>
      <c r="C54" s="20">
        <v>0.02</v>
      </c>
      <c r="D54" s="20">
        <v>2.8000000000000001E-2</v>
      </c>
      <c r="E54" s="20">
        <v>4.9000000000000002E-2</v>
      </c>
      <c r="F54" s="20">
        <v>5.0999999999999997E-2</v>
      </c>
      <c r="G54" s="20">
        <v>5.7000000000000002E-2</v>
      </c>
    </row>
    <row r="55" spans="1:7" x14ac:dyDescent="0.2">
      <c r="A55" s="5"/>
      <c r="B55" s="5"/>
      <c r="C55" s="5"/>
      <c r="D55" s="5"/>
      <c r="E55" s="5"/>
      <c r="F55" s="5"/>
      <c r="G55" s="5"/>
    </row>
    <row r="56" spans="1:7" x14ac:dyDescent="0.2">
      <c r="A56" s="14" t="s">
        <v>559</v>
      </c>
      <c r="B56" s="5"/>
      <c r="C56" s="5"/>
      <c r="D56" s="5"/>
      <c r="E56" s="5"/>
      <c r="F56" s="5"/>
      <c r="G56" s="5"/>
    </row>
    <row r="57" spans="1:7" x14ac:dyDescent="0.2">
      <c r="A57" s="5" t="s">
        <v>560</v>
      </c>
      <c r="B57" s="20">
        <v>0.36</v>
      </c>
      <c r="C57" s="20">
        <v>0.32</v>
      </c>
      <c r="D57" s="20">
        <v>0.27</v>
      </c>
      <c r="E57" s="20">
        <v>0.13</v>
      </c>
      <c r="F57" s="20">
        <v>0.2</v>
      </c>
      <c r="G57" s="20">
        <v>0.21</v>
      </c>
    </row>
    <row r="58" spans="1:7" x14ac:dyDescent="0.2">
      <c r="A58" s="5" t="s">
        <v>561</v>
      </c>
      <c r="B58" s="20">
        <v>0.46</v>
      </c>
      <c r="C58" s="20">
        <v>0.51</v>
      </c>
      <c r="D58" s="20">
        <v>0.54</v>
      </c>
      <c r="E58" s="20">
        <v>0.6</v>
      </c>
      <c r="F58" s="20">
        <v>0.54</v>
      </c>
      <c r="G58" s="20">
        <v>0.55000000000000004</v>
      </c>
    </row>
    <row r="59" spans="1:7" x14ac:dyDescent="0.2">
      <c r="A59" s="5" t="s">
        <v>562</v>
      </c>
      <c r="B59" s="20">
        <v>0.09</v>
      </c>
      <c r="C59" s="20">
        <v>0.08</v>
      </c>
      <c r="D59" s="20">
        <v>0.09</v>
      </c>
      <c r="E59" s="20">
        <v>0.12</v>
      </c>
      <c r="F59" s="20">
        <v>0.11</v>
      </c>
      <c r="G59" s="20">
        <v>0.09</v>
      </c>
    </row>
    <row r="60" spans="1:7" x14ac:dyDescent="0.2">
      <c r="A60" s="5" t="s">
        <v>563</v>
      </c>
      <c r="B60" s="20">
        <v>0.09</v>
      </c>
      <c r="C60" s="20">
        <v>0.09</v>
      </c>
      <c r="D60" s="20">
        <v>0.1</v>
      </c>
      <c r="E60" s="20">
        <v>0.15</v>
      </c>
      <c r="F60" s="20">
        <v>0.15</v>
      </c>
      <c r="G60" s="20">
        <v>0.15</v>
      </c>
    </row>
    <row r="61" spans="1:7" x14ac:dyDescent="0.2">
      <c r="A61" s="5"/>
      <c r="B61" s="5"/>
      <c r="C61" s="5"/>
      <c r="D61" s="5"/>
      <c r="E61" s="5"/>
      <c r="F61" s="5"/>
      <c r="G61" s="5"/>
    </row>
    <row r="62" spans="1:7" x14ac:dyDescent="0.2">
      <c r="A62" s="14" t="s">
        <v>559</v>
      </c>
      <c r="B62" s="5"/>
      <c r="C62" s="5"/>
      <c r="D62" s="5"/>
      <c r="E62" s="5"/>
      <c r="F62" s="5"/>
      <c r="G62" s="5"/>
    </row>
    <row r="63" spans="1:7" x14ac:dyDescent="0.2">
      <c r="A63" s="5" t="s">
        <v>564</v>
      </c>
      <c r="B63" s="15">
        <v>6273</v>
      </c>
      <c r="C63" s="15">
        <v>6426.24</v>
      </c>
      <c r="D63" s="15">
        <v>6045.3</v>
      </c>
      <c r="E63" s="15">
        <v>1693.25</v>
      </c>
      <c r="F63" s="15">
        <v>2431.1999999999998</v>
      </c>
      <c r="G63" s="15">
        <v>2460.15</v>
      </c>
    </row>
    <row r="64" spans="1:7" x14ac:dyDescent="0.2">
      <c r="A64" s="5" t="s">
        <v>565</v>
      </c>
      <c r="B64" s="15">
        <v>8015.5</v>
      </c>
      <c r="C64" s="15">
        <v>10241.82</v>
      </c>
      <c r="D64" s="15">
        <v>12090.6</v>
      </c>
      <c r="E64" s="15">
        <v>7815</v>
      </c>
      <c r="F64" s="15">
        <v>6564.24</v>
      </c>
      <c r="G64" s="15">
        <v>6443.25</v>
      </c>
    </row>
    <row r="65" spans="1:7" x14ac:dyDescent="0.2">
      <c r="A65" s="5" t="s">
        <v>566</v>
      </c>
      <c r="B65" s="15">
        <v>1568.25</v>
      </c>
      <c r="C65" s="15">
        <v>1606.56</v>
      </c>
      <c r="D65" s="15">
        <v>2015.1</v>
      </c>
      <c r="E65" s="15">
        <v>1563</v>
      </c>
      <c r="F65" s="15">
        <v>1337.16</v>
      </c>
      <c r="G65" s="15">
        <v>1054.3499999999999</v>
      </c>
    </row>
    <row r="66" spans="1:7" x14ac:dyDescent="0.2">
      <c r="A66" s="5" t="s">
        <v>567</v>
      </c>
      <c r="B66" s="15">
        <v>1568.25</v>
      </c>
      <c r="C66" s="15">
        <v>1807.38</v>
      </c>
      <c r="D66" s="15">
        <v>2239</v>
      </c>
      <c r="E66" s="15">
        <v>1953.75</v>
      </c>
      <c r="F66" s="15">
        <v>1823.4</v>
      </c>
      <c r="G66" s="15">
        <v>1757.25</v>
      </c>
    </row>
    <row r="67" spans="1:7" x14ac:dyDescent="0.2">
      <c r="A67" s="5"/>
      <c r="B67" s="5"/>
      <c r="C67" s="5"/>
      <c r="D67" s="5"/>
      <c r="E67" s="5"/>
      <c r="F67" s="5"/>
      <c r="G67" s="5"/>
    </row>
    <row r="68" spans="1:7" x14ac:dyDescent="0.2">
      <c r="A68" s="14" t="s">
        <v>568</v>
      </c>
      <c r="B68" s="5"/>
      <c r="C68" s="5"/>
      <c r="D68" s="5"/>
      <c r="E68" s="5"/>
      <c r="F68" s="5"/>
      <c r="G68" s="5"/>
    </row>
    <row r="69" spans="1:7" x14ac:dyDescent="0.2">
      <c r="A69" s="5" t="s">
        <v>569</v>
      </c>
      <c r="B69" s="20">
        <v>1.9E-2</v>
      </c>
      <c r="C69" s="20">
        <v>0.02</v>
      </c>
      <c r="D69" s="20">
        <v>2.8000000000000001E-2</v>
      </c>
      <c r="E69" s="20">
        <v>4.9000000000000002E-2</v>
      </c>
      <c r="F69" s="20">
        <v>5.0999999999999997E-2</v>
      </c>
      <c r="G69" s="20">
        <v>5.7000000000000002E-2</v>
      </c>
    </row>
    <row r="70" spans="1:7" x14ac:dyDescent="0.2">
      <c r="A70" s="5" t="s">
        <v>570</v>
      </c>
      <c r="B70" s="20">
        <v>1.9E-2</v>
      </c>
      <c r="C70" s="20">
        <v>0.02</v>
      </c>
      <c r="D70" s="20">
        <v>2.8000000000000001E-2</v>
      </c>
      <c r="E70" s="20">
        <v>4.9000000000000002E-2</v>
      </c>
      <c r="F70" s="20">
        <v>5.0999999999999997E-2</v>
      </c>
      <c r="G70" s="20">
        <v>5.7000000000000002E-2</v>
      </c>
    </row>
    <row r="71" spans="1:7" ht="17" x14ac:dyDescent="0.2">
      <c r="A71" s="5" t="s">
        <v>571</v>
      </c>
      <c r="B71" s="23" t="s">
        <v>52</v>
      </c>
      <c r="C71" s="23" t="s">
        <v>52</v>
      </c>
      <c r="D71" s="23" t="s">
        <v>52</v>
      </c>
      <c r="E71" s="23" t="s">
        <v>52</v>
      </c>
      <c r="F71" s="23" t="s">
        <v>52</v>
      </c>
      <c r="G71" s="23" t="s">
        <v>52</v>
      </c>
    </row>
    <row r="72" spans="1:7" ht="17" x14ac:dyDescent="0.2">
      <c r="A72" s="5" t="s">
        <v>572</v>
      </c>
      <c r="B72" s="23" t="s">
        <v>52</v>
      </c>
      <c r="C72" s="23" t="s">
        <v>52</v>
      </c>
      <c r="D72" s="23" t="s">
        <v>52</v>
      </c>
      <c r="E72" s="23" t="s">
        <v>52</v>
      </c>
      <c r="F72" s="23" t="s">
        <v>52</v>
      </c>
      <c r="G72" s="23" t="s">
        <v>52</v>
      </c>
    </row>
    <row r="73" spans="1:7" x14ac:dyDescent="0.2">
      <c r="A73" s="5"/>
      <c r="B73" s="5"/>
      <c r="C73" s="5"/>
      <c r="D73" s="5"/>
      <c r="E73" s="5"/>
      <c r="F73" s="5"/>
      <c r="G73" s="5"/>
    </row>
    <row r="74" spans="1:7" x14ac:dyDescent="0.2">
      <c r="A74" s="14" t="s">
        <v>573</v>
      </c>
      <c r="B74" s="5"/>
      <c r="C74" s="5"/>
      <c r="D74" s="5"/>
      <c r="E74" s="5"/>
      <c r="F74" s="5"/>
      <c r="G74" s="5"/>
    </row>
    <row r="75" spans="1:7" ht="17" x14ac:dyDescent="0.2">
      <c r="A75" s="5" t="s">
        <v>574</v>
      </c>
      <c r="B75" s="15" t="s">
        <v>52</v>
      </c>
      <c r="C75" s="15" t="s">
        <v>52</v>
      </c>
      <c r="D75" s="15" t="s">
        <v>52</v>
      </c>
      <c r="E75" s="15" t="s">
        <v>52</v>
      </c>
      <c r="F75" s="15" t="s">
        <v>52</v>
      </c>
      <c r="G75" s="15" t="s">
        <v>52</v>
      </c>
    </row>
    <row r="76" spans="1:7" x14ac:dyDescent="0.2">
      <c r="A76" s="5"/>
      <c r="B76" s="5"/>
      <c r="C76" s="5"/>
      <c r="D76" s="5"/>
      <c r="E76" s="5"/>
      <c r="F76" s="5"/>
      <c r="G76" s="5"/>
    </row>
    <row r="77" spans="1:7" x14ac:dyDescent="0.2">
      <c r="A77" s="14" t="s">
        <v>575</v>
      </c>
      <c r="B77" s="5"/>
      <c r="C77" s="5"/>
      <c r="D77" s="5"/>
      <c r="E77" s="5"/>
      <c r="F77" s="5"/>
      <c r="G77" s="5"/>
    </row>
    <row r="78" spans="1:7" x14ac:dyDescent="0.2">
      <c r="A78" s="5" t="s">
        <v>576</v>
      </c>
      <c r="B78" s="15">
        <v>512</v>
      </c>
      <c r="C78" s="15">
        <v>218</v>
      </c>
      <c r="D78" s="15">
        <v>-726</v>
      </c>
      <c r="E78" s="15">
        <v>97</v>
      </c>
      <c r="F78" s="15">
        <v>158</v>
      </c>
      <c r="G78" s="15">
        <v>68</v>
      </c>
    </row>
    <row r="79" spans="1:7" x14ac:dyDescent="0.2">
      <c r="A79" s="5" t="s">
        <v>577</v>
      </c>
      <c r="B79" s="15">
        <v>-2573</v>
      </c>
      <c r="C79" s="15">
        <v>-1004</v>
      </c>
      <c r="D79" s="15">
        <v>2121</v>
      </c>
      <c r="E79" s="15">
        <v>-294</v>
      </c>
      <c r="F79" s="15">
        <v>-473</v>
      </c>
      <c r="G79" s="15">
        <v>-180</v>
      </c>
    </row>
    <row r="80" spans="1:7" x14ac:dyDescent="0.2">
      <c r="A80" s="5"/>
      <c r="B80" s="5"/>
      <c r="C80" s="5"/>
      <c r="D80" s="5"/>
      <c r="E80" s="5"/>
      <c r="F80" s="5"/>
      <c r="G80" s="5"/>
    </row>
    <row r="81" spans="1:7" x14ac:dyDescent="0.2">
      <c r="A81" s="14" t="s">
        <v>578</v>
      </c>
      <c r="B81" s="5"/>
      <c r="C81" s="5"/>
      <c r="D81" s="5"/>
      <c r="E81" s="5"/>
      <c r="F81" s="5"/>
      <c r="G81" s="5"/>
    </row>
    <row r="82" spans="1:7" x14ac:dyDescent="0.2">
      <c r="A82" s="5" t="s">
        <v>579</v>
      </c>
      <c r="B82" s="15">
        <v>512</v>
      </c>
      <c r="C82" s="15">
        <v>218</v>
      </c>
      <c r="D82" s="15">
        <v>3150</v>
      </c>
      <c r="E82" s="15">
        <v>106</v>
      </c>
      <c r="F82" s="15">
        <v>184</v>
      </c>
      <c r="G82" s="15">
        <v>127</v>
      </c>
    </row>
    <row r="83" spans="1:7" x14ac:dyDescent="0.2">
      <c r="A83" s="5" t="s">
        <v>580</v>
      </c>
      <c r="B83" s="15">
        <v>-3085</v>
      </c>
      <c r="C83" s="15">
        <v>-1222</v>
      </c>
      <c r="D83" s="15">
        <v>-1029</v>
      </c>
      <c r="E83" s="15">
        <v>-400</v>
      </c>
      <c r="F83" s="15">
        <v>-657</v>
      </c>
      <c r="G83" s="15">
        <v>-307</v>
      </c>
    </row>
    <row r="84" spans="1:7" x14ac:dyDescent="0.2">
      <c r="A84" s="5"/>
      <c r="B84" s="5"/>
      <c r="C84" s="5"/>
      <c r="D84" s="5"/>
      <c r="E84" s="5"/>
      <c r="F84" s="5"/>
      <c r="G84" s="5"/>
    </row>
    <row r="85" spans="1:7" x14ac:dyDescent="0.2">
      <c r="A85" s="14" t="s">
        <v>581</v>
      </c>
      <c r="B85" s="5"/>
      <c r="C85" s="5"/>
      <c r="D85" s="5"/>
      <c r="E85" s="5"/>
      <c r="F85" s="5"/>
      <c r="G85" s="5"/>
    </row>
    <row r="86" spans="1:7" x14ac:dyDescent="0.2">
      <c r="A86" s="5" t="s">
        <v>582</v>
      </c>
      <c r="B86" s="15">
        <v>300</v>
      </c>
      <c r="C86" s="15">
        <v>15</v>
      </c>
      <c r="D86" s="15">
        <v>15</v>
      </c>
      <c r="E86" s="15">
        <v>17</v>
      </c>
      <c r="F86" s="15">
        <v>17</v>
      </c>
      <c r="G86" s="15">
        <v>17</v>
      </c>
    </row>
    <row r="87" spans="1:7" x14ac:dyDescent="0.2">
      <c r="A87" s="5" t="s">
        <v>583</v>
      </c>
      <c r="B87" s="22">
        <v>43890</v>
      </c>
      <c r="C87" s="22">
        <v>44254</v>
      </c>
      <c r="D87" s="22">
        <v>44618</v>
      </c>
      <c r="E87" s="22">
        <v>44982</v>
      </c>
      <c r="F87" s="22">
        <v>45346</v>
      </c>
      <c r="G87" s="22">
        <v>45710</v>
      </c>
    </row>
    <row r="88" spans="1:7" x14ac:dyDescent="0.2">
      <c r="A88" s="5"/>
      <c r="B88" s="5"/>
      <c r="C88" s="5"/>
      <c r="D88" s="5"/>
      <c r="E88" s="5"/>
      <c r="F88" s="5"/>
      <c r="G88" s="5"/>
    </row>
    <row r="89" spans="1:7" x14ac:dyDescent="0.2">
      <c r="A89" s="14" t="s">
        <v>584</v>
      </c>
      <c r="B89" s="5"/>
      <c r="C89" s="5"/>
      <c r="D89" s="5"/>
      <c r="E89" s="5"/>
      <c r="F89" s="5"/>
      <c r="G89" s="5"/>
    </row>
    <row r="90" spans="1:7" x14ac:dyDescent="0.2">
      <c r="A90" s="14" t="s">
        <v>525</v>
      </c>
      <c r="B90" s="5"/>
      <c r="C90" s="5"/>
      <c r="D90" s="5"/>
      <c r="E90" s="5"/>
      <c r="F90" s="5"/>
      <c r="G90" s="5"/>
    </row>
    <row r="91" spans="1:7" ht="17" x14ac:dyDescent="0.2">
      <c r="A91" s="14" t="s">
        <v>585</v>
      </c>
      <c r="B91" s="16" t="s">
        <v>52</v>
      </c>
      <c r="C91" s="16" t="s">
        <v>52</v>
      </c>
      <c r="D91" s="16" t="s">
        <v>52</v>
      </c>
      <c r="E91" s="16" t="s">
        <v>52</v>
      </c>
      <c r="F91" s="16" t="s">
        <v>52</v>
      </c>
      <c r="G91" s="16" t="s">
        <v>52</v>
      </c>
    </row>
    <row r="92" spans="1:7" x14ac:dyDescent="0.2">
      <c r="A92" s="5"/>
      <c r="B92" s="5"/>
      <c r="C92" s="5"/>
      <c r="D92" s="5"/>
      <c r="E92" s="5"/>
      <c r="F92" s="5"/>
      <c r="G92" s="5"/>
    </row>
    <row r="93" spans="1:7" ht="17" x14ac:dyDescent="0.2">
      <c r="A93" s="14" t="s">
        <v>586</v>
      </c>
      <c r="B93" s="16" t="s">
        <v>52</v>
      </c>
      <c r="C93" s="16" t="s">
        <v>52</v>
      </c>
      <c r="D93" s="16" t="s">
        <v>52</v>
      </c>
      <c r="E93" s="16" t="s">
        <v>52</v>
      </c>
      <c r="F93" s="16" t="s">
        <v>52</v>
      </c>
      <c r="G93" s="16" t="s">
        <v>52</v>
      </c>
    </row>
    <row r="94" spans="1:7" x14ac:dyDescent="0.2">
      <c r="A94" s="5"/>
      <c r="B94" s="5"/>
      <c r="C94" s="5"/>
      <c r="D94" s="5"/>
      <c r="E94" s="5"/>
      <c r="F94" s="5"/>
      <c r="G94" s="5"/>
    </row>
    <row r="95" spans="1:7" x14ac:dyDescent="0.2">
      <c r="A95" s="14" t="s">
        <v>568</v>
      </c>
      <c r="B95" s="5"/>
      <c r="C95" s="5"/>
      <c r="D95" s="5"/>
      <c r="E95" s="5"/>
      <c r="F95" s="5"/>
      <c r="G95" s="5"/>
    </row>
    <row r="96" spans="1:7" x14ac:dyDescent="0.2">
      <c r="A96" s="5" t="s">
        <v>569</v>
      </c>
      <c r="B96" s="20">
        <v>1.9E-2</v>
      </c>
      <c r="C96" s="20">
        <v>0.02</v>
      </c>
      <c r="D96" s="20">
        <v>2.8000000000000001E-2</v>
      </c>
      <c r="E96" s="20">
        <v>4.9000000000000002E-2</v>
      </c>
      <c r="F96" s="20">
        <v>5.0999999999999997E-2</v>
      </c>
      <c r="G96" s="20">
        <v>5.7000000000000002E-2</v>
      </c>
    </row>
    <row r="97" spans="1:7" x14ac:dyDescent="0.2">
      <c r="A97" s="5" t="s">
        <v>570</v>
      </c>
      <c r="B97" s="20">
        <v>1.9E-2</v>
      </c>
      <c r="C97" s="20">
        <v>0.02</v>
      </c>
      <c r="D97" s="20">
        <v>2.8000000000000001E-2</v>
      </c>
      <c r="E97" s="20">
        <v>4.9000000000000002E-2</v>
      </c>
      <c r="F97" s="20">
        <v>5.0999999999999997E-2</v>
      </c>
      <c r="G97" s="20">
        <v>5.7000000000000002E-2</v>
      </c>
    </row>
    <row r="98" spans="1:7" ht="17" x14ac:dyDescent="0.2">
      <c r="A98" s="5" t="s">
        <v>571</v>
      </c>
      <c r="B98" s="23" t="s">
        <v>52</v>
      </c>
      <c r="C98" s="23" t="s">
        <v>52</v>
      </c>
      <c r="D98" s="23" t="s">
        <v>52</v>
      </c>
      <c r="E98" s="23" t="s">
        <v>52</v>
      </c>
      <c r="F98" s="23" t="s">
        <v>52</v>
      </c>
      <c r="G98" s="23" t="s">
        <v>52</v>
      </c>
    </row>
    <row r="99" spans="1:7" ht="17" x14ac:dyDescent="0.2">
      <c r="A99" s="5" t="s">
        <v>572</v>
      </c>
      <c r="B99" s="23" t="s">
        <v>52</v>
      </c>
      <c r="C99" s="23" t="s">
        <v>52</v>
      </c>
      <c r="D99" s="23" t="s">
        <v>52</v>
      </c>
      <c r="E99" s="23" t="s">
        <v>52</v>
      </c>
      <c r="F99" s="23" t="s">
        <v>52</v>
      </c>
      <c r="G99" s="23" t="s">
        <v>52</v>
      </c>
    </row>
    <row r="100" spans="1:7" x14ac:dyDescent="0.2">
      <c r="A100" s="5"/>
      <c r="B100" s="5"/>
      <c r="C100" s="5"/>
      <c r="D100" s="5"/>
      <c r="E100" s="5"/>
      <c r="F100" s="5"/>
      <c r="G100" s="5"/>
    </row>
    <row r="101" spans="1:7" x14ac:dyDescent="0.2">
      <c r="A101" s="14" t="s">
        <v>575</v>
      </c>
      <c r="B101" s="5"/>
      <c r="C101" s="5"/>
      <c r="D101" s="5"/>
      <c r="E101" s="5"/>
      <c r="F101" s="5"/>
      <c r="G101" s="5"/>
    </row>
    <row r="102" spans="1:7" x14ac:dyDescent="0.2">
      <c r="A102" s="5" t="s">
        <v>577</v>
      </c>
      <c r="B102" s="15">
        <v>-8</v>
      </c>
      <c r="C102" s="15">
        <v>-7</v>
      </c>
      <c r="D102" s="15">
        <v>-6</v>
      </c>
      <c r="E102" s="15">
        <v>-4</v>
      </c>
      <c r="F102" s="15">
        <v>-4</v>
      </c>
      <c r="G102" s="15">
        <v>-3</v>
      </c>
    </row>
    <row r="103" spans="1:7" x14ac:dyDescent="0.2">
      <c r="A103" s="5"/>
      <c r="B103" s="5"/>
      <c r="C103" s="5"/>
      <c r="D103" s="5"/>
      <c r="E103" s="5"/>
      <c r="F103" s="5"/>
      <c r="G103" s="5"/>
    </row>
    <row r="104" spans="1:7" x14ac:dyDescent="0.2">
      <c r="A104" s="14" t="s">
        <v>587</v>
      </c>
      <c r="B104" s="5"/>
      <c r="C104" s="5"/>
      <c r="D104" s="5"/>
      <c r="E104" s="5"/>
      <c r="F104" s="5"/>
      <c r="G104" s="5"/>
    </row>
    <row r="105" spans="1:7" ht="17" x14ac:dyDescent="0.2">
      <c r="A105" s="5" t="s">
        <v>588</v>
      </c>
      <c r="B105" s="15" t="s">
        <v>52</v>
      </c>
      <c r="C105" s="15" t="s">
        <v>52</v>
      </c>
      <c r="D105" s="15" t="s">
        <v>52</v>
      </c>
      <c r="E105" s="15" t="s">
        <v>52</v>
      </c>
      <c r="F105" s="15" t="s">
        <v>52</v>
      </c>
      <c r="G105" s="15" t="s">
        <v>52</v>
      </c>
    </row>
    <row r="106" spans="1:7" ht="17" x14ac:dyDescent="0.2">
      <c r="A106" s="5" t="s">
        <v>589</v>
      </c>
      <c r="B106" s="15" t="s">
        <v>52</v>
      </c>
      <c r="C106" s="15" t="s">
        <v>52</v>
      </c>
      <c r="D106" s="15" t="s">
        <v>52</v>
      </c>
      <c r="E106" s="15" t="s">
        <v>52</v>
      </c>
      <c r="F106" s="15" t="s">
        <v>52</v>
      </c>
      <c r="G106" s="15" t="s">
        <v>52</v>
      </c>
    </row>
    <row r="107" spans="1:7" ht="17" x14ac:dyDescent="0.2">
      <c r="A107" s="5" t="s">
        <v>590</v>
      </c>
      <c r="B107" s="15" t="s">
        <v>52</v>
      </c>
      <c r="C107" s="15" t="s">
        <v>52</v>
      </c>
      <c r="D107" s="15" t="s">
        <v>52</v>
      </c>
      <c r="E107" s="15" t="s">
        <v>52</v>
      </c>
      <c r="F107" s="15" t="s">
        <v>52</v>
      </c>
      <c r="G107" s="15" t="s">
        <v>52</v>
      </c>
    </row>
    <row r="108" spans="1:7" ht="17" x14ac:dyDescent="0.2">
      <c r="A108" s="5" t="s">
        <v>591</v>
      </c>
      <c r="B108" s="15" t="s">
        <v>52</v>
      </c>
      <c r="C108" s="15" t="s">
        <v>52</v>
      </c>
      <c r="D108" s="15" t="s">
        <v>52</v>
      </c>
      <c r="E108" s="15" t="s">
        <v>52</v>
      </c>
      <c r="F108" s="15" t="s">
        <v>52</v>
      </c>
      <c r="G108" s="15" t="s">
        <v>52</v>
      </c>
    </row>
    <row r="109" spans="1:7" x14ac:dyDescent="0.2">
      <c r="A109" s="5"/>
      <c r="B109" s="5"/>
      <c r="C109" s="5"/>
      <c r="D109" s="5"/>
      <c r="E109" s="5"/>
      <c r="F109" s="5"/>
      <c r="G109" s="5"/>
    </row>
    <row r="110" spans="1:7" x14ac:dyDescent="0.2">
      <c r="A110" s="14" t="s">
        <v>592</v>
      </c>
      <c r="B110" s="5"/>
      <c r="C110" s="5"/>
      <c r="D110" s="5"/>
      <c r="E110" s="5"/>
      <c r="F110" s="5"/>
      <c r="G110" s="5"/>
    </row>
    <row r="111" spans="1:7" x14ac:dyDescent="0.2">
      <c r="A111" s="5" t="s">
        <v>583</v>
      </c>
      <c r="B111" s="22">
        <v>43890</v>
      </c>
      <c r="C111" s="22">
        <v>44254</v>
      </c>
      <c r="D111" s="22">
        <v>44618</v>
      </c>
      <c r="E111" s="22">
        <v>44982</v>
      </c>
      <c r="F111" s="22">
        <v>45346</v>
      </c>
      <c r="G111" s="22">
        <v>45710</v>
      </c>
    </row>
    <row r="112" spans="1:7" x14ac:dyDescent="0.2">
      <c r="A112" s="5"/>
      <c r="B112" s="5"/>
      <c r="C112" s="5"/>
      <c r="D112" s="5"/>
      <c r="E112" s="5"/>
      <c r="F112" s="5"/>
      <c r="G112" s="5"/>
    </row>
    <row r="113" spans="1:7" x14ac:dyDescent="0.2">
      <c r="A113" s="14" t="s">
        <v>593</v>
      </c>
      <c r="B113" s="5"/>
      <c r="C113" s="5"/>
      <c r="D113" s="5"/>
      <c r="E113" s="5"/>
      <c r="F113" s="5"/>
      <c r="G113" s="5"/>
    </row>
    <row r="114" spans="1:7" x14ac:dyDescent="0.2">
      <c r="A114" s="14" t="s">
        <v>525</v>
      </c>
      <c r="B114" s="5"/>
      <c r="C114" s="5"/>
      <c r="D114" s="5"/>
      <c r="E114" s="5"/>
      <c r="F114" s="5"/>
      <c r="G114" s="5"/>
    </row>
    <row r="115" spans="1:7" x14ac:dyDescent="0.2">
      <c r="A115" s="5" t="s">
        <v>535</v>
      </c>
      <c r="B115" s="15">
        <v>40</v>
      </c>
      <c r="C115" s="15">
        <v>41</v>
      </c>
      <c r="D115" s="15">
        <v>39</v>
      </c>
      <c r="E115" s="15">
        <v>24</v>
      </c>
      <c r="F115" s="15">
        <v>15</v>
      </c>
      <c r="G115" s="15">
        <v>17</v>
      </c>
    </row>
    <row r="116" spans="1:7" x14ac:dyDescent="0.2">
      <c r="A116" s="5" t="s">
        <v>594</v>
      </c>
      <c r="B116" s="15">
        <v>480</v>
      </c>
      <c r="C116" s="15">
        <v>384</v>
      </c>
      <c r="D116" s="15">
        <v>413</v>
      </c>
      <c r="E116" s="15">
        <v>527</v>
      </c>
      <c r="F116" s="15">
        <v>637</v>
      </c>
      <c r="G116" s="15">
        <v>633</v>
      </c>
    </row>
    <row r="117" spans="1:7" x14ac:dyDescent="0.2">
      <c r="A117" s="5" t="s">
        <v>595</v>
      </c>
      <c r="B117" s="15">
        <v>-409</v>
      </c>
      <c r="C117" s="15">
        <v>-341</v>
      </c>
      <c r="D117" s="15">
        <v>-391</v>
      </c>
      <c r="E117" s="15">
        <v>-607</v>
      </c>
      <c r="F117" s="15">
        <v>-619</v>
      </c>
      <c r="G117" s="15">
        <v>-601</v>
      </c>
    </row>
    <row r="118" spans="1:7" ht="17" x14ac:dyDescent="0.2">
      <c r="A118" s="5" t="s">
        <v>596</v>
      </c>
      <c r="B118" s="15">
        <v>5</v>
      </c>
      <c r="C118" s="15">
        <v>7</v>
      </c>
      <c r="D118" s="15">
        <v>1</v>
      </c>
      <c r="E118" s="15" t="s">
        <v>52</v>
      </c>
      <c r="F118" s="15" t="s">
        <v>52</v>
      </c>
      <c r="G118" s="15" t="s">
        <v>52</v>
      </c>
    </row>
    <row r="119" spans="1:7" x14ac:dyDescent="0.2">
      <c r="A119" s="14" t="s">
        <v>597</v>
      </c>
      <c r="B119" s="16">
        <v>116</v>
      </c>
      <c r="C119" s="16">
        <v>91</v>
      </c>
      <c r="D119" s="16">
        <v>62</v>
      </c>
      <c r="E119" s="16">
        <v>-56</v>
      </c>
      <c r="F119" s="16">
        <v>33</v>
      </c>
      <c r="G119" s="16">
        <v>49</v>
      </c>
    </row>
    <row r="120" spans="1:7" x14ac:dyDescent="0.2">
      <c r="A120" s="5"/>
      <c r="B120" s="5"/>
      <c r="C120" s="5"/>
      <c r="D120" s="5"/>
      <c r="E120" s="5"/>
      <c r="F120" s="5"/>
      <c r="G120" s="5"/>
    </row>
    <row r="121" spans="1:7" x14ac:dyDescent="0.2">
      <c r="A121" s="14" t="s">
        <v>533</v>
      </c>
      <c r="B121" s="5"/>
      <c r="C121" s="5"/>
      <c r="D121" s="5"/>
      <c r="E121" s="5"/>
      <c r="F121" s="5"/>
      <c r="G121" s="5"/>
    </row>
    <row r="122" spans="1:7" x14ac:dyDescent="0.2">
      <c r="A122" s="5" t="s">
        <v>598</v>
      </c>
      <c r="B122" s="15">
        <v>17862</v>
      </c>
      <c r="C122" s="15">
        <v>20510</v>
      </c>
      <c r="D122" s="15">
        <v>21304</v>
      </c>
      <c r="E122" s="15">
        <v>19543</v>
      </c>
      <c r="F122" s="15">
        <v>13416</v>
      </c>
      <c r="G122" s="15">
        <v>12787</v>
      </c>
    </row>
    <row r="123" spans="1:7" x14ac:dyDescent="0.2">
      <c r="A123" s="5" t="s">
        <v>535</v>
      </c>
      <c r="B123" s="15">
        <v>40</v>
      </c>
      <c r="C123" s="15">
        <v>41</v>
      </c>
      <c r="D123" s="15">
        <v>39</v>
      </c>
      <c r="E123" s="15">
        <v>24</v>
      </c>
      <c r="F123" s="15">
        <v>15</v>
      </c>
      <c r="G123" s="15">
        <v>17</v>
      </c>
    </row>
    <row r="124" spans="1:7" x14ac:dyDescent="0.2">
      <c r="A124" s="5" t="s">
        <v>594</v>
      </c>
      <c r="B124" s="15">
        <v>480</v>
      </c>
      <c r="C124" s="15">
        <v>384</v>
      </c>
      <c r="D124" s="15">
        <v>413</v>
      </c>
      <c r="E124" s="15">
        <v>527</v>
      </c>
      <c r="F124" s="15">
        <v>637</v>
      </c>
      <c r="G124" s="15">
        <v>633</v>
      </c>
    </row>
    <row r="125" spans="1:7" ht="17" x14ac:dyDescent="0.2">
      <c r="A125" s="5" t="s">
        <v>599</v>
      </c>
      <c r="B125" s="15">
        <v>2</v>
      </c>
      <c r="C125" s="15">
        <v>2</v>
      </c>
      <c r="D125" s="15">
        <v>2</v>
      </c>
      <c r="E125" s="15" t="s">
        <v>52</v>
      </c>
      <c r="F125" s="15" t="s">
        <v>52</v>
      </c>
      <c r="G125" s="15" t="s">
        <v>52</v>
      </c>
    </row>
    <row r="126" spans="1:7" x14ac:dyDescent="0.2">
      <c r="A126" s="5" t="s">
        <v>600</v>
      </c>
      <c r="B126" s="15">
        <v>2624</v>
      </c>
      <c r="C126" s="15">
        <v>821</v>
      </c>
      <c r="D126" s="15">
        <v>-1690</v>
      </c>
      <c r="E126" s="15">
        <v>-6180</v>
      </c>
      <c r="F126" s="15">
        <v>-799</v>
      </c>
      <c r="G126" s="15">
        <v>-936</v>
      </c>
    </row>
    <row r="127" spans="1:7" x14ac:dyDescent="0.2">
      <c r="A127" s="5" t="s">
        <v>539</v>
      </c>
      <c r="B127" s="15">
        <v>-498</v>
      </c>
      <c r="C127" s="15">
        <v>-436</v>
      </c>
      <c r="D127" s="15">
        <v>-505</v>
      </c>
      <c r="E127" s="15">
        <v>-516</v>
      </c>
      <c r="F127" s="15">
        <v>-472</v>
      </c>
      <c r="G127" s="15">
        <v>-530</v>
      </c>
    </row>
    <row r="128" spans="1:7" x14ac:dyDescent="0.2">
      <c r="A128" s="5" t="s">
        <v>601</v>
      </c>
      <c r="B128" s="15">
        <v>-5</v>
      </c>
      <c r="C128" s="15">
        <v>4</v>
      </c>
      <c r="D128" s="15">
        <v>-13</v>
      </c>
      <c r="E128" s="15">
        <v>18</v>
      </c>
      <c r="F128" s="15">
        <v>-10</v>
      </c>
      <c r="G128" s="15">
        <v>-8</v>
      </c>
    </row>
    <row r="129" spans="1:7" ht="17" x14ac:dyDescent="0.2">
      <c r="A129" s="5" t="s">
        <v>602</v>
      </c>
      <c r="B129" s="15" t="s">
        <v>52</v>
      </c>
      <c r="C129" s="15" t="s">
        <v>52</v>
      </c>
      <c r="D129" s="15" t="s">
        <v>52</v>
      </c>
      <c r="E129" s="15" t="s">
        <v>52</v>
      </c>
      <c r="F129" s="15" t="s">
        <v>52</v>
      </c>
      <c r="G129" s="15" t="s">
        <v>52</v>
      </c>
    </row>
    <row r="130" spans="1:7" ht="17" x14ac:dyDescent="0.2">
      <c r="A130" s="5" t="s">
        <v>603</v>
      </c>
      <c r="B130" s="15" t="s">
        <v>52</v>
      </c>
      <c r="C130" s="15" t="s">
        <v>52</v>
      </c>
      <c r="D130" s="15">
        <v>-7</v>
      </c>
      <c r="E130" s="15" t="s">
        <v>52</v>
      </c>
      <c r="F130" s="15" t="s">
        <v>52</v>
      </c>
      <c r="G130" s="15" t="s">
        <v>52</v>
      </c>
    </row>
    <row r="131" spans="1:7" ht="17" x14ac:dyDescent="0.2">
      <c r="A131" s="5" t="s">
        <v>604</v>
      </c>
      <c r="B131" s="15">
        <v>5</v>
      </c>
      <c r="C131" s="15">
        <v>-22</v>
      </c>
      <c r="D131" s="15" t="s">
        <v>52</v>
      </c>
      <c r="E131" s="15" t="s">
        <v>52</v>
      </c>
      <c r="F131" s="15" t="s">
        <v>52</v>
      </c>
      <c r="G131" s="15" t="s">
        <v>52</v>
      </c>
    </row>
    <row r="132" spans="1:7" x14ac:dyDescent="0.2">
      <c r="A132" s="5" t="s">
        <v>605</v>
      </c>
      <c r="B132" s="15">
        <v>20510</v>
      </c>
      <c r="C132" s="15">
        <v>21304</v>
      </c>
      <c r="D132" s="15">
        <v>19543</v>
      </c>
      <c r="E132" s="15">
        <v>13416</v>
      </c>
      <c r="F132" s="15">
        <v>12787</v>
      </c>
      <c r="G132" s="15">
        <v>11963</v>
      </c>
    </row>
    <row r="133" spans="1:7" x14ac:dyDescent="0.2">
      <c r="A133" s="5"/>
      <c r="B133" s="5"/>
      <c r="C133" s="5"/>
      <c r="D133" s="5"/>
      <c r="E133" s="5"/>
      <c r="F133" s="5"/>
      <c r="G133" s="5"/>
    </row>
    <row r="134" spans="1:7" x14ac:dyDescent="0.2">
      <c r="A134" s="14" t="s">
        <v>545</v>
      </c>
      <c r="B134" s="5"/>
      <c r="C134" s="5"/>
      <c r="D134" s="5"/>
      <c r="E134" s="5"/>
      <c r="F134" s="5"/>
      <c r="G134" s="5"/>
    </row>
    <row r="135" spans="1:7" x14ac:dyDescent="0.2">
      <c r="A135" s="5" t="s">
        <v>606</v>
      </c>
      <c r="B135" s="15">
        <v>15054</v>
      </c>
      <c r="C135" s="15">
        <v>17425</v>
      </c>
      <c r="D135" s="15">
        <v>20082</v>
      </c>
      <c r="E135" s="15">
        <v>22390</v>
      </c>
      <c r="F135" s="15">
        <v>13025</v>
      </c>
      <c r="G135" s="15">
        <v>12156</v>
      </c>
    </row>
    <row r="136" spans="1:7" x14ac:dyDescent="0.2">
      <c r="A136" s="5" t="s">
        <v>607</v>
      </c>
      <c r="B136" s="15">
        <v>2567</v>
      </c>
      <c r="C136" s="15">
        <v>205</v>
      </c>
      <c r="D136" s="15">
        <v>2776</v>
      </c>
      <c r="E136" s="15">
        <v>-8911</v>
      </c>
      <c r="F136" s="15">
        <v>-431</v>
      </c>
      <c r="G136" s="15">
        <v>51</v>
      </c>
    </row>
    <row r="137" spans="1:7" x14ac:dyDescent="0.2">
      <c r="A137" s="5" t="s">
        <v>608</v>
      </c>
      <c r="B137" s="15">
        <v>298</v>
      </c>
      <c r="C137" s="15">
        <v>2870</v>
      </c>
      <c r="D137" s="15">
        <v>49</v>
      </c>
      <c r="E137" s="15">
        <v>44</v>
      </c>
      <c r="F137" s="15">
        <v>39</v>
      </c>
      <c r="G137" s="15">
        <v>40</v>
      </c>
    </row>
    <row r="138" spans="1:7" ht="17" x14ac:dyDescent="0.2">
      <c r="A138" s="5" t="s">
        <v>609</v>
      </c>
      <c r="B138" s="15">
        <v>2</v>
      </c>
      <c r="C138" s="15">
        <v>2</v>
      </c>
      <c r="D138" s="15">
        <v>2</v>
      </c>
      <c r="E138" s="15" t="s">
        <v>52</v>
      </c>
      <c r="F138" s="15" t="s">
        <v>52</v>
      </c>
      <c r="G138" s="15" t="s">
        <v>52</v>
      </c>
    </row>
    <row r="139" spans="1:7" x14ac:dyDescent="0.2">
      <c r="A139" s="5" t="s">
        <v>610</v>
      </c>
      <c r="B139" s="15">
        <v>-493</v>
      </c>
      <c r="C139" s="15">
        <v>-421</v>
      </c>
      <c r="D139" s="15">
        <v>-502</v>
      </c>
      <c r="E139" s="15">
        <v>-513</v>
      </c>
      <c r="F139" s="15">
        <v>-467</v>
      </c>
      <c r="G139" s="15">
        <v>-523</v>
      </c>
    </row>
    <row r="140" spans="1:7" x14ac:dyDescent="0.2">
      <c r="A140" s="5" t="s">
        <v>611</v>
      </c>
      <c r="B140" s="15">
        <v>-3</v>
      </c>
      <c r="C140" s="15">
        <v>1</v>
      </c>
      <c r="D140" s="15">
        <v>-9</v>
      </c>
      <c r="E140" s="15">
        <v>15</v>
      </c>
      <c r="F140" s="15">
        <v>-10</v>
      </c>
      <c r="G140" s="15">
        <v>-9</v>
      </c>
    </row>
    <row r="141" spans="1:7" ht="17" x14ac:dyDescent="0.2">
      <c r="A141" s="5" t="s">
        <v>612</v>
      </c>
      <c r="B141" s="15" t="s">
        <v>52</v>
      </c>
      <c r="C141" s="15" t="s">
        <v>52</v>
      </c>
      <c r="D141" s="15" t="s">
        <v>52</v>
      </c>
      <c r="E141" s="15" t="s">
        <v>52</v>
      </c>
      <c r="F141" s="15" t="s">
        <v>52</v>
      </c>
      <c r="G141" s="15" t="s">
        <v>52</v>
      </c>
    </row>
    <row r="142" spans="1:7" ht="17" x14ac:dyDescent="0.2">
      <c r="A142" s="5" t="s">
        <v>613</v>
      </c>
      <c r="B142" s="15" t="s">
        <v>52</v>
      </c>
      <c r="C142" s="15" t="s">
        <v>52</v>
      </c>
      <c r="D142" s="15">
        <v>-8</v>
      </c>
      <c r="E142" s="15" t="s">
        <v>52</v>
      </c>
      <c r="F142" s="15" t="s">
        <v>52</v>
      </c>
      <c r="G142" s="15" t="s">
        <v>52</v>
      </c>
    </row>
    <row r="143" spans="1:7" ht="17" x14ac:dyDescent="0.2">
      <c r="A143" s="5" t="s">
        <v>614</v>
      </c>
      <c r="B143" s="15" t="s">
        <v>52</v>
      </c>
      <c r="C143" s="15" t="s">
        <v>52</v>
      </c>
      <c r="D143" s="15" t="s">
        <v>52</v>
      </c>
      <c r="E143" s="15" t="s">
        <v>52</v>
      </c>
      <c r="F143" s="15" t="s">
        <v>52</v>
      </c>
      <c r="G143" s="15" t="s">
        <v>52</v>
      </c>
    </row>
    <row r="144" spans="1:7" x14ac:dyDescent="0.2">
      <c r="A144" s="14" t="s">
        <v>615</v>
      </c>
      <c r="B144" s="16">
        <v>17425</v>
      </c>
      <c r="C144" s="16">
        <v>20082</v>
      </c>
      <c r="D144" s="16">
        <v>22390</v>
      </c>
      <c r="E144" s="16">
        <v>13025</v>
      </c>
      <c r="F144" s="16">
        <v>12156</v>
      </c>
      <c r="G144" s="16">
        <v>11715</v>
      </c>
    </row>
    <row r="145" spans="1:7" x14ac:dyDescent="0.2">
      <c r="A145" s="5"/>
      <c r="B145" s="5"/>
      <c r="C145" s="5"/>
      <c r="D145" s="5"/>
      <c r="E145" s="5"/>
      <c r="F145" s="5"/>
      <c r="G145" s="5"/>
    </row>
    <row r="146" spans="1:7" x14ac:dyDescent="0.2">
      <c r="A146" s="14" t="s">
        <v>556</v>
      </c>
      <c r="B146" s="5"/>
      <c r="C146" s="5"/>
      <c r="D146" s="5"/>
      <c r="E146" s="5"/>
      <c r="F146" s="5"/>
      <c r="G146" s="5"/>
    </row>
    <row r="147" spans="1:7" ht="17" x14ac:dyDescent="0.2">
      <c r="A147" s="5" t="s">
        <v>616</v>
      </c>
      <c r="B147" s="23" t="s">
        <v>52</v>
      </c>
      <c r="C147" s="23" t="s">
        <v>52</v>
      </c>
      <c r="D147" s="23" t="s">
        <v>52</v>
      </c>
      <c r="E147" s="23" t="s">
        <v>52</v>
      </c>
      <c r="F147" s="23" t="s">
        <v>52</v>
      </c>
      <c r="G147" s="23" t="s">
        <v>52</v>
      </c>
    </row>
    <row r="148" spans="1:7" ht="17" x14ac:dyDescent="0.2">
      <c r="A148" s="5" t="s">
        <v>617</v>
      </c>
      <c r="B148" s="23" t="s">
        <v>52</v>
      </c>
      <c r="C148" s="23" t="s">
        <v>52</v>
      </c>
      <c r="D148" s="23" t="s">
        <v>52</v>
      </c>
      <c r="E148" s="23" t="s">
        <v>52</v>
      </c>
      <c r="F148" s="23" t="s">
        <v>52</v>
      </c>
      <c r="G148" s="23" t="s">
        <v>52</v>
      </c>
    </row>
    <row r="149" spans="1:7" x14ac:dyDescent="0.2">
      <c r="A149" s="5"/>
      <c r="B149" s="5"/>
      <c r="C149" s="5"/>
      <c r="D149" s="5"/>
      <c r="E149" s="5"/>
      <c r="F149" s="5"/>
      <c r="G149" s="5"/>
    </row>
    <row r="150" spans="1:7" x14ac:dyDescent="0.2">
      <c r="A150" s="14" t="s">
        <v>559</v>
      </c>
      <c r="B150" s="5"/>
      <c r="C150" s="5"/>
      <c r="D150" s="5"/>
      <c r="E150" s="5"/>
      <c r="F150" s="5"/>
      <c r="G150" s="5"/>
    </row>
    <row r="151" spans="1:7" ht="17" x14ac:dyDescent="0.2">
      <c r="A151" s="5" t="s">
        <v>560</v>
      </c>
      <c r="B151" s="23" t="s">
        <v>52</v>
      </c>
      <c r="C151" s="23" t="s">
        <v>52</v>
      </c>
      <c r="D151" s="23" t="s">
        <v>52</v>
      </c>
      <c r="E151" s="23" t="s">
        <v>52</v>
      </c>
      <c r="F151" s="23" t="s">
        <v>52</v>
      </c>
      <c r="G151" s="23" t="s">
        <v>52</v>
      </c>
    </row>
    <row r="152" spans="1:7" ht="17" x14ac:dyDescent="0.2">
      <c r="A152" s="5" t="s">
        <v>561</v>
      </c>
      <c r="B152" s="23" t="s">
        <v>52</v>
      </c>
      <c r="C152" s="23" t="s">
        <v>52</v>
      </c>
      <c r="D152" s="23" t="s">
        <v>52</v>
      </c>
      <c r="E152" s="23" t="s">
        <v>52</v>
      </c>
      <c r="F152" s="23" t="s">
        <v>52</v>
      </c>
      <c r="G152" s="23" t="s">
        <v>52</v>
      </c>
    </row>
    <row r="153" spans="1:7" ht="17" x14ac:dyDescent="0.2">
      <c r="A153" s="5" t="s">
        <v>562</v>
      </c>
      <c r="B153" s="23" t="s">
        <v>52</v>
      </c>
      <c r="C153" s="23" t="s">
        <v>52</v>
      </c>
      <c r="D153" s="23" t="s">
        <v>52</v>
      </c>
      <c r="E153" s="23" t="s">
        <v>52</v>
      </c>
      <c r="F153" s="23" t="s">
        <v>52</v>
      </c>
      <c r="G153" s="23" t="s">
        <v>52</v>
      </c>
    </row>
    <row r="154" spans="1:7" ht="17" x14ac:dyDescent="0.2">
      <c r="A154" s="5" t="s">
        <v>563</v>
      </c>
      <c r="B154" s="23" t="s">
        <v>52</v>
      </c>
      <c r="C154" s="23" t="s">
        <v>52</v>
      </c>
      <c r="D154" s="23" t="s">
        <v>52</v>
      </c>
      <c r="E154" s="23" t="s">
        <v>52</v>
      </c>
      <c r="F154" s="23" t="s">
        <v>52</v>
      </c>
      <c r="G154" s="23" t="s">
        <v>52</v>
      </c>
    </row>
    <row r="155" spans="1:7" x14ac:dyDescent="0.2">
      <c r="A155" s="5"/>
      <c r="B155" s="5"/>
      <c r="C155" s="5"/>
      <c r="D155" s="5"/>
      <c r="E155" s="5"/>
      <c r="F155" s="5"/>
      <c r="G155" s="5"/>
    </row>
    <row r="156" spans="1:7" x14ac:dyDescent="0.2">
      <c r="A156" s="14" t="s">
        <v>559</v>
      </c>
      <c r="B156" s="5"/>
      <c r="C156" s="5"/>
      <c r="D156" s="5"/>
      <c r="E156" s="5"/>
      <c r="F156" s="5"/>
      <c r="G156" s="5"/>
    </row>
    <row r="157" spans="1:7" ht="17" x14ac:dyDescent="0.2">
      <c r="A157" s="5" t="s">
        <v>618</v>
      </c>
      <c r="B157" s="15" t="s">
        <v>52</v>
      </c>
      <c r="C157" s="15" t="s">
        <v>52</v>
      </c>
      <c r="D157" s="15" t="s">
        <v>52</v>
      </c>
      <c r="E157" s="15" t="s">
        <v>52</v>
      </c>
      <c r="F157" s="15" t="s">
        <v>52</v>
      </c>
      <c r="G157" s="15" t="s">
        <v>52</v>
      </c>
    </row>
    <row r="158" spans="1:7" ht="17" x14ac:dyDescent="0.2">
      <c r="A158" s="5" t="s">
        <v>619</v>
      </c>
      <c r="B158" s="15" t="s">
        <v>52</v>
      </c>
      <c r="C158" s="15" t="s">
        <v>52</v>
      </c>
      <c r="D158" s="15" t="s">
        <v>52</v>
      </c>
      <c r="E158" s="15" t="s">
        <v>52</v>
      </c>
      <c r="F158" s="15" t="s">
        <v>52</v>
      </c>
      <c r="G158" s="15" t="s">
        <v>52</v>
      </c>
    </row>
    <row r="159" spans="1:7" ht="17" x14ac:dyDescent="0.2">
      <c r="A159" s="5" t="s">
        <v>620</v>
      </c>
      <c r="B159" s="15" t="s">
        <v>52</v>
      </c>
      <c r="C159" s="15" t="s">
        <v>52</v>
      </c>
      <c r="D159" s="15" t="s">
        <v>52</v>
      </c>
      <c r="E159" s="15" t="s">
        <v>52</v>
      </c>
      <c r="F159" s="15" t="s">
        <v>52</v>
      </c>
      <c r="G159" s="15" t="s">
        <v>52</v>
      </c>
    </row>
    <row r="160" spans="1:7" ht="17" x14ac:dyDescent="0.2">
      <c r="A160" s="5" t="s">
        <v>621</v>
      </c>
      <c r="B160" s="15" t="s">
        <v>52</v>
      </c>
      <c r="C160" s="15" t="s">
        <v>52</v>
      </c>
      <c r="D160" s="15" t="s">
        <v>52</v>
      </c>
      <c r="E160" s="15" t="s">
        <v>52</v>
      </c>
      <c r="F160" s="15" t="s">
        <v>52</v>
      </c>
      <c r="G160" s="15" t="s">
        <v>52</v>
      </c>
    </row>
    <row r="161" spans="1:7" x14ac:dyDescent="0.2">
      <c r="A161" s="5"/>
      <c r="B161" s="5"/>
      <c r="C161" s="5"/>
      <c r="D161" s="5"/>
      <c r="E161" s="5"/>
      <c r="F161" s="5"/>
      <c r="G161" s="5"/>
    </row>
    <row r="162" spans="1:7" x14ac:dyDescent="0.2">
      <c r="A162" s="14" t="s">
        <v>568</v>
      </c>
      <c r="B162" s="5"/>
      <c r="C162" s="5"/>
      <c r="D162" s="5"/>
      <c r="E162" s="5"/>
      <c r="F162" s="5"/>
      <c r="G162" s="5"/>
    </row>
    <row r="163" spans="1:7" ht="17" x14ac:dyDescent="0.2">
      <c r="A163" s="5" t="s">
        <v>622</v>
      </c>
      <c r="B163" s="23" t="s">
        <v>52</v>
      </c>
      <c r="C163" s="23" t="s">
        <v>52</v>
      </c>
      <c r="D163" s="23" t="s">
        <v>52</v>
      </c>
      <c r="E163" s="23" t="s">
        <v>52</v>
      </c>
      <c r="F163" s="23" t="s">
        <v>52</v>
      </c>
      <c r="G163" s="23" t="s">
        <v>52</v>
      </c>
    </row>
    <row r="164" spans="1:7" ht="17" x14ac:dyDescent="0.2">
      <c r="A164" s="5" t="s">
        <v>623</v>
      </c>
      <c r="B164" s="23" t="s">
        <v>52</v>
      </c>
      <c r="C164" s="23" t="s">
        <v>52</v>
      </c>
      <c r="D164" s="23" t="s">
        <v>52</v>
      </c>
      <c r="E164" s="23" t="s">
        <v>52</v>
      </c>
      <c r="F164" s="23" t="s">
        <v>52</v>
      </c>
      <c r="G164" s="23" t="s">
        <v>52</v>
      </c>
    </row>
    <row r="165" spans="1:7" x14ac:dyDescent="0.2">
      <c r="A165" s="5"/>
      <c r="B165" s="5"/>
      <c r="C165" s="5"/>
      <c r="D165" s="5"/>
      <c r="E165" s="5"/>
      <c r="F165" s="5"/>
      <c r="G165" s="5"/>
    </row>
    <row r="166" spans="1:7" x14ac:dyDescent="0.2">
      <c r="A166" s="14" t="s">
        <v>573</v>
      </c>
      <c r="B166" s="5"/>
      <c r="C166" s="5"/>
      <c r="D166" s="5"/>
      <c r="E166" s="5"/>
      <c r="F166" s="5"/>
      <c r="G166" s="5"/>
    </row>
    <row r="167" spans="1:7" ht="17" x14ac:dyDescent="0.2">
      <c r="A167" s="5" t="s">
        <v>624</v>
      </c>
      <c r="B167" s="15" t="s">
        <v>52</v>
      </c>
      <c r="C167" s="15" t="s">
        <v>52</v>
      </c>
      <c r="D167" s="15" t="s">
        <v>52</v>
      </c>
      <c r="E167" s="15" t="s">
        <v>52</v>
      </c>
      <c r="F167" s="15" t="s">
        <v>52</v>
      </c>
      <c r="G167" s="15" t="s">
        <v>52</v>
      </c>
    </row>
    <row r="168" spans="1:7" x14ac:dyDescent="0.2">
      <c r="A168" s="5"/>
      <c r="B168" s="5"/>
      <c r="C168" s="5"/>
      <c r="D168" s="5"/>
      <c r="E168" s="5"/>
      <c r="F168" s="5"/>
      <c r="G168" s="5"/>
    </row>
    <row r="169" spans="1:7" x14ac:dyDescent="0.2">
      <c r="A169" s="14" t="s">
        <v>575</v>
      </c>
      <c r="B169" s="5"/>
      <c r="C169" s="5"/>
      <c r="D169" s="5"/>
      <c r="E169" s="5"/>
      <c r="F169" s="5"/>
      <c r="G169" s="5"/>
    </row>
    <row r="170" spans="1:7" x14ac:dyDescent="0.2">
      <c r="A170" s="5" t="s">
        <v>625</v>
      </c>
      <c r="B170" s="15">
        <v>512</v>
      </c>
      <c r="C170" s="15">
        <v>218</v>
      </c>
      <c r="D170" s="15">
        <v>-726</v>
      </c>
      <c r="E170" s="15">
        <v>97</v>
      </c>
      <c r="F170" s="15">
        <v>158</v>
      </c>
      <c r="G170" s="15">
        <v>68</v>
      </c>
    </row>
    <row r="171" spans="1:7" x14ac:dyDescent="0.2">
      <c r="A171" s="5" t="s">
        <v>626</v>
      </c>
      <c r="B171" s="15">
        <v>-2573</v>
      </c>
      <c r="C171" s="15">
        <v>-1004</v>
      </c>
      <c r="D171" s="15">
        <v>2121</v>
      </c>
      <c r="E171" s="15">
        <v>-294</v>
      </c>
      <c r="F171" s="15">
        <v>-473</v>
      </c>
      <c r="G171" s="15">
        <v>-180</v>
      </c>
    </row>
    <row r="172" spans="1:7" x14ac:dyDescent="0.2">
      <c r="A172" s="5"/>
      <c r="B172" s="5"/>
      <c r="C172" s="5"/>
      <c r="D172" s="5"/>
      <c r="E172" s="5"/>
      <c r="F172" s="5"/>
      <c r="G172" s="5"/>
    </row>
    <row r="173" spans="1:7" x14ac:dyDescent="0.2">
      <c r="A173" s="14" t="s">
        <v>578</v>
      </c>
      <c r="B173" s="5"/>
      <c r="C173" s="5"/>
      <c r="D173" s="5"/>
      <c r="E173" s="5"/>
      <c r="F173" s="5"/>
      <c r="G173" s="5"/>
    </row>
    <row r="174" spans="1:7" x14ac:dyDescent="0.2">
      <c r="A174" s="5" t="s">
        <v>579</v>
      </c>
      <c r="B174" s="15">
        <v>512</v>
      </c>
      <c r="C174" s="15">
        <v>218</v>
      </c>
      <c r="D174" s="15">
        <v>3150</v>
      </c>
      <c r="E174" s="15">
        <v>106</v>
      </c>
      <c r="F174" s="15">
        <v>184</v>
      </c>
      <c r="G174" s="15">
        <v>127</v>
      </c>
    </row>
    <row r="175" spans="1:7" x14ac:dyDescent="0.2">
      <c r="A175" s="5" t="s">
        <v>580</v>
      </c>
      <c r="B175" s="15">
        <v>-3085</v>
      </c>
      <c r="C175" s="15">
        <v>-1222</v>
      </c>
      <c r="D175" s="15">
        <v>-1029</v>
      </c>
      <c r="E175" s="15">
        <v>-400</v>
      </c>
      <c r="F175" s="15">
        <v>-657</v>
      </c>
      <c r="G175" s="15">
        <v>-307</v>
      </c>
    </row>
    <row r="176" spans="1:7" x14ac:dyDescent="0.2">
      <c r="A176" s="5"/>
      <c r="B176" s="5"/>
      <c r="C176" s="5"/>
      <c r="D176" s="5"/>
      <c r="E176" s="5"/>
      <c r="F176" s="5"/>
      <c r="G176" s="5"/>
    </row>
    <row r="177" spans="1:7" x14ac:dyDescent="0.2">
      <c r="A177" s="14" t="s">
        <v>581</v>
      </c>
      <c r="B177" s="5"/>
      <c r="C177" s="5"/>
      <c r="D177" s="5"/>
      <c r="E177" s="5"/>
      <c r="F177" s="5"/>
      <c r="G177" s="5"/>
    </row>
    <row r="178" spans="1:7" x14ac:dyDescent="0.2">
      <c r="A178" s="5" t="s">
        <v>627</v>
      </c>
      <c r="B178" s="15">
        <v>300</v>
      </c>
      <c r="C178" s="15">
        <v>15</v>
      </c>
      <c r="D178" s="15">
        <v>15</v>
      </c>
      <c r="E178" s="15">
        <v>17</v>
      </c>
      <c r="F178" s="15">
        <v>17</v>
      </c>
      <c r="G178" s="15">
        <v>17</v>
      </c>
    </row>
    <row r="179" spans="1:7" x14ac:dyDescent="0.2">
      <c r="A179" s="5" t="s">
        <v>583</v>
      </c>
      <c r="B179" s="22">
        <v>43890</v>
      </c>
      <c r="C179" s="22">
        <v>44254</v>
      </c>
      <c r="D179" s="22">
        <v>44618</v>
      </c>
      <c r="E179" s="22">
        <v>44982</v>
      </c>
      <c r="F179" s="22">
        <v>45346</v>
      </c>
      <c r="G179" s="22">
        <v>45710</v>
      </c>
    </row>
    <row r="180" spans="1:7" x14ac:dyDescent="0.2">
      <c r="A180" s="5"/>
      <c r="B180" s="5"/>
      <c r="C180" s="5"/>
      <c r="D180" s="5"/>
      <c r="E180" s="5"/>
      <c r="F180" s="5"/>
      <c r="G180" s="5"/>
    </row>
    <row r="181" spans="1:7" x14ac:dyDescent="0.2">
      <c r="A181" s="14" t="s">
        <v>628</v>
      </c>
      <c r="B181" s="5"/>
      <c r="C181" s="5"/>
      <c r="D181" s="5"/>
      <c r="E181" s="5"/>
      <c r="F181" s="5"/>
      <c r="G181" s="5"/>
    </row>
    <row r="182" spans="1:7" x14ac:dyDescent="0.2">
      <c r="A182" s="14" t="s">
        <v>525</v>
      </c>
      <c r="B182" s="5"/>
      <c r="C182" s="5"/>
      <c r="D182" s="5"/>
      <c r="E182" s="5"/>
      <c r="F182" s="5"/>
      <c r="G182" s="5"/>
    </row>
    <row r="183" spans="1:7" ht="17" x14ac:dyDescent="0.2">
      <c r="A183" s="14" t="s">
        <v>585</v>
      </c>
      <c r="B183" s="16" t="s">
        <v>52</v>
      </c>
      <c r="C183" s="16" t="s">
        <v>52</v>
      </c>
      <c r="D183" s="16" t="s">
        <v>52</v>
      </c>
      <c r="E183" s="16" t="s">
        <v>52</v>
      </c>
      <c r="F183" s="16" t="s">
        <v>52</v>
      </c>
      <c r="G183" s="16" t="s">
        <v>52</v>
      </c>
    </row>
    <row r="184" spans="1:7" x14ac:dyDescent="0.2">
      <c r="A184" s="5"/>
      <c r="B184" s="5"/>
      <c r="C184" s="5"/>
      <c r="D184" s="5"/>
      <c r="E184" s="5"/>
      <c r="F184" s="5"/>
      <c r="G184" s="5"/>
    </row>
    <row r="185" spans="1:7" x14ac:dyDescent="0.2">
      <c r="A185" s="14" t="s">
        <v>575</v>
      </c>
      <c r="B185" s="5"/>
      <c r="C185" s="5"/>
      <c r="D185" s="5"/>
      <c r="E185" s="5"/>
      <c r="F185" s="5"/>
      <c r="G185" s="5"/>
    </row>
    <row r="186" spans="1:7" x14ac:dyDescent="0.2">
      <c r="A186" s="5" t="s">
        <v>626</v>
      </c>
      <c r="B186" s="15">
        <v>-8</v>
      </c>
      <c r="C186" s="15">
        <v>-7</v>
      </c>
      <c r="D186" s="15">
        <v>-6</v>
      </c>
      <c r="E186" s="15">
        <v>-4</v>
      </c>
      <c r="F186" s="15">
        <v>-4</v>
      </c>
      <c r="G186" s="15">
        <v>-3</v>
      </c>
    </row>
    <row r="187" spans="1:7" x14ac:dyDescent="0.2">
      <c r="A187" s="5"/>
      <c r="B187" s="5"/>
      <c r="C187" s="5"/>
      <c r="D187" s="5"/>
      <c r="E187" s="5"/>
      <c r="F187" s="5"/>
      <c r="G187" s="5"/>
    </row>
    <row r="188" spans="1:7" x14ac:dyDescent="0.2">
      <c r="A188" s="14" t="s">
        <v>587</v>
      </c>
      <c r="B188" s="5"/>
      <c r="C188" s="5"/>
      <c r="D188" s="5"/>
      <c r="E188" s="5"/>
      <c r="F188" s="5"/>
      <c r="G188" s="5"/>
    </row>
    <row r="189" spans="1:7" ht="17" x14ac:dyDescent="0.2">
      <c r="A189" s="5" t="s">
        <v>629</v>
      </c>
      <c r="B189" s="15" t="s">
        <v>52</v>
      </c>
      <c r="C189" s="15" t="s">
        <v>52</v>
      </c>
      <c r="D189" s="15" t="s">
        <v>52</v>
      </c>
      <c r="E189" s="15" t="s">
        <v>52</v>
      </c>
      <c r="F189" s="15" t="s">
        <v>52</v>
      </c>
      <c r="G189" s="15" t="s">
        <v>52</v>
      </c>
    </row>
    <row r="190" spans="1:7" ht="17" x14ac:dyDescent="0.2">
      <c r="A190" s="5" t="s">
        <v>630</v>
      </c>
      <c r="B190" s="15" t="s">
        <v>52</v>
      </c>
      <c r="C190" s="15" t="s">
        <v>52</v>
      </c>
      <c r="D190" s="15" t="s">
        <v>52</v>
      </c>
      <c r="E190" s="15" t="s">
        <v>52</v>
      </c>
      <c r="F190" s="15" t="s">
        <v>52</v>
      </c>
      <c r="G190" s="15" t="s">
        <v>52</v>
      </c>
    </row>
    <row r="191" spans="1:7" ht="17" x14ac:dyDescent="0.2">
      <c r="A191" s="5" t="s">
        <v>631</v>
      </c>
      <c r="B191" s="15" t="s">
        <v>52</v>
      </c>
      <c r="C191" s="15" t="s">
        <v>52</v>
      </c>
      <c r="D191" s="15" t="s">
        <v>52</v>
      </c>
      <c r="E191" s="15" t="s">
        <v>52</v>
      </c>
      <c r="F191" s="15" t="s">
        <v>52</v>
      </c>
      <c r="G191" s="15" t="s">
        <v>52</v>
      </c>
    </row>
    <row r="192" spans="1:7" ht="17" x14ac:dyDescent="0.2">
      <c r="A192" s="5" t="s">
        <v>632</v>
      </c>
      <c r="B192" s="15" t="s">
        <v>52</v>
      </c>
      <c r="C192" s="15" t="s">
        <v>52</v>
      </c>
      <c r="D192" s="15" t="s">
        <v>52</v>
      </c>
      <c r="E192" s="15" t="s">
        <v>52</v>
      </c>
      <c r="F192" s="15" t="s">
        <v>52</v>
      </c>
      <c r="G192" s="15" t="s">
        <v>52</v>
      </c>
    </row>
    <row r="193" spans="1:33" x14ac:dyDescent="0.2">
      <c r="A193" s="5"/>
      <c r="B193" s="5"/>
      <c r="C193" s="5"/>
      <c r="D193" s="5"/>
      <c r="E193" s="5"/>
      <c r="F193" s="5"/>
      <c r="G193" s="5"/>
    </row>
    <row r="194" spans="1:33" x14ac:dyDescent="0.2">
      <c r="A194" s="14" t="s">
        <v>592</v>
      </c>
      <c r="B194" s="5"/>
      <c r="C194" s="5"/>
      <c r="D194" s="5"/>
      <c r="E194" s="5"/>
      <c r="F194" s="5"/>
      <c r="G194" s="5"/>
    </row>
    <row r="195" spans="1:33" x14ac:dyDescent="0.2">
      <c r="A195" s="5" t="s">
        <v>583</v>
      </c>
      <c r="B195" s="22">
        <v>43890</v>
      </c>
      <c r="C195" s="22">
        <v>44254</v>
      </c>
      <c r="D195" s="22">
        <v>44618</v>
      </c>
      <c r="E195" s="22">
        <v>44982</v>
      </c>
      <c r="F195" s="22">
        <v>45346</v>
      </c>
      <c r="G195" s="22">
        <v>45710</v>
      </c>
    </row>
    <row r="196" spans="1:33" x14ac:dyDescent="0.2">
      <c r="A196" s="5"/>
      <c r="B196" s="5"/>
      <c r="C196" s="5"/>
      <c r="D196" s="5"/>
      <c r="E196" s="5"/>
      <c r="F196" s="5"/>
      <c r="G196" s="5"/>
    </row>
    <row r="197" spans="1:33" x14ac:dyDescent="0.2">
      <c r="A197" s="14" t="s">
        <v>633</v>
      </c>
      <c r="B197" s="5"/>
      <c r="C197" s="5"/>
      <c r="D197" s="5"/>
      <c r="E197" s="5"/>
      <c r="F197" s="5"/>
      <c r="G197" s="5"/>
    </row>
    <row r="198" spans="1:33" x14ac:dyDescent="0.2">
      <c r="A198" s="14" t="s">
        <v>545</v>
      </c>
      <c r="B198" s="5"/>
      <c r="C198" s="5"/>
      <c r="D198" s="5"/>
      <c r="E198" s="5"/>
      <c r="F198" s="5"/>
      <c r="G198" s="5"/>
    </row>
    <row r="199" spans="1:33" ht="17" x14ac:dyDescent="0.2">
      <c r="A199" s="14" t="s">
        <v>615</v>
      </c>
      <c r="B199" s="16" t="s">
        <v>52</v>
      </c>
      <c r="C199" s="16" t="s">
        <v>52</v>
      </c>
      <c r="D199" s="16" t="s">
        <v>52</v>
      </c>
      <c r="E199" s="16" t="s">
        <v>52</v>
      </c>
      <c r="F199" s="16" t="s">
        <v>52</v>
      </c>
      <c r="G199" s="16" t="s">
        <v>52</v>
      </c>
    </row>
    <row r="200" spans="1:33" x14ac:dyDescent="0.2">
      <c r="A200" s="5"/>
      <c r="B200" s="5"/>
      <c r="C200" s="5"/>
      <c r="D200" s="5"/>
      <c r="E200" s="5"/>
      <c r="F200" s="5"/>
      <c r="G200" s="5"/>
    </row>
    <row r="201" spans="1:33" x14ac:dyDescent="0.2">
      <c r="A201" s="14" t="s">
        <v>581</v>
      </c>
      <c r="B201" s="5"/>
      <c r="C201" s="5"/>
      <c r="D201" s="5"/>
      <c r="E201" s="5"/>
      <c r="F201" s="5"/>
      <c r="G201" s="5"/>
    </row>
    <row r="202" spans="1:33" x14ac:dyDescent="0.2">
      <c r="A202" s="5" t="s">
        <v>583</v>
      </c>
      <c r="B202" s="22">
        <v>43890</v>
      </c>
      <c r="C202" s="22">
        <v>44254</v>
      </c>
      <c r="D202" s="22">
        <v>44618</v>
      </c>
      <c r="E202" s="22">
        <v>44982</v>
      </c>
      <c r="F202" s="22">
        <v>45346</v>
      </c>
      <c r="G202" s="22">
        <v>45710</v>
      </c>
    </row>
    <row r="203" spans="1:33" x14ac:dyDescent="0.2">
      <c r="A203" s="5"/>
      <c r="B203" s="5"/>
      <c r="C203" s="5"/>
      <c r="D203" s="5"/>
      <c r="E203" s="5"/>
      <c r="F203" s="5"/>
      <c r="G203" s="5"/>
    </row>
    <row r="204" spans="1:33" x14ac:dyDescent="0.2">
      <c r="A204" s="14" t="s">
        <v>634</v>
      </c>
      <c r="B204" s="5"/>
      <c r="C204" s="5"/>
      <c r="D204" s="5"/>
      <c r="E204" s="5"/>
      <c r="F204" s="5"/>
      <c r="G204" s="5"/>
    </row>
    <row r="205" spans="1:33" x14ac:dyDescent="0.2">
      <c r="A205" s="14" t="s">
        <v>592</v>
      </c>
      <c r="B205" s="5"/>
      <c r="C205" s="5"/>
      <c r="D205" s="5"/>
      <c r="E205" s="5"/>
      <c r="F205" s="5"/>
      <c r="G205" s="5"/>
    </row>
    <row r="206" spans="1:33" x14ac:dyDescent="0.2">
      <c r="A206" s="5" t="s">
        <v>583</v>
      </c>
      <c r="B206" s="22">
        <v>43890</v>
      </c>
      <c r="C206" s="22">
        <v>44254</v>
      </c>
      <c r="D206" s="22">
        <v>44618</v>
      </c>
      <c r="E206" s="22">
        <v>44982</v>
      </c>
      <c r="F206" s="22">
        <v>45346</v>
      </c>
      <c r="G206" s="22">
        <v>45710</v>
      </c>
    </row>
    <row r="207" spans="1:33" x14ac:dyDescent="0.2">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row>
    <row r="208" spans="1:33" ht="102" x14ac:dyDescent="0.2">
      <c r="A208" s="172" t="s">
        <v>73</v>
      </c>
      <c r="B208" s="25"/>
      <c r="C208" s="25"/>
      <c r="D208" s="25"/>
      <c r="E208" s="25"/>
      <c r="F208" s="25"/>
      <c r="G208" s="25"/>
      <c r="H208" s="25"/>
      <c r="I208" s="25"/>
      <c r="J208" s="25"/>
      <c r="K208" s="25"/>
      <c r="L208" s="25"/>
      <c r="M208" s="25"/>
      <c r="N208" s="25"/>
      <c r="O208" s="25"/>
      <c r="P208" s="25"/>
      <c r="Q208" s="25"/>
      <c r="R208" s="25"/>
      <c r="S208" s="25"/>
      <c r="T208" s="25"/>
      <c r="U208" s="25"/>
      <c r="V208" s="25"/>
      <c r="W208" s="25"/>
      <c r="X208" s="25"/>
      <c r="Y208" s="25"/>
      <c r="Z208" s="25"/>
      <c r="AA208" s="25"/>
      <c r="AB208" s="25"/>
      <c r="AC208" s="25"/>
      <c r="AD208" s="25"/>
      <c r="AE208" s="25"/>
      <c r="AF208" s="25"/>
      <c r="AG208" s="25"/>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71C83-C329-E547-9D65-2175D906BAC6}">
  <dimension ref="A5:HZ159"/>
  <sheetViews>
    <sheetView topLeftCell="A3" workbookViewId="0">
      <selection activeCell="G18" sqref="G18"/>
    </sheetView>
  </sheetViews>
  <sheetFormatPr baseColWidth="10" defaultRowHeight="16" x14ac:dyDescent="0.2"/>
  <cols>
    <col min="1" max="1" width="45.83203125" style="2" customWidth="1"/>
    <col min="2" max="28" width="14.83203125" style="2" customWidth="1"/>
    <col min="29" max="256" width="8.83203125" style="2" customWidth="1"/>
    <col min="257" max="257" width="45.83203125" style="2" customWidth="1"/>
    <col min="258" max="284" width="14.83203125" style="2" customWidth="1"/>
    <col min="285" max="512" width="8.83203125" style="2" customWidth="1"/>
    <col min="513" max="513" width="45.83203125" style="2" customWidth="1"/>
    <col min="514" max="540" width="14.83203125" style="2" customWidth="1"/>
    <col min="541" max="768" width="8.83203125" style="2" customWidth="1"/>
    <col min="769" max="769" width="45.83203125" style="2" customWidth="1"/>
    <col min="770" max="796" width="14.83203125" style="2" customWidth="1"/>
    <col min="797" max="1024" width="8.83203125" style="2" customWidth="1"/>
    <col min="1025" max="1025" width="45.83203125" style="2" customWidth="1"/>
    <col min="1026" max="1052" width="14.83203125" style="2" customWidth="1"/>
    <col min="1053" max="1280" width="8.83203125" style="2" customWidth="1"/>
    <col min="1281" max="1281" width="45.83203125" style="2" customWidth="1"/>
    <col min="1282" max="1308" width="14.83203125" style="2" customWidth="1"/>
    <col min="1309" max="1536" width="8.83203125" style="2" customWidth="1"/>
    <col min="1537" max="1537" width="45.83203125" style="2" customWidth="1"/>
    <col min="1538" max="1564" width="14.83203125" style="2" customWidth="1"/>
    <col min="1565" max="1792" width="8.83203125" style="2" customWidth="1"/>
    <col min="1793" max="1793" width="45.83203125" style="2" customWidth="1"/>
    <col min="1794" max="1820" width="14.83203125" style="2" customWidth="1"/>
    <col min="1821" max="2048" width="8.83203125" style="2" customWidth="1"/>
    <col min="2049" max="2049" width="45.83203125" style="2" customWidth="1"/>
    <col min="2050" max="2076" width="14.83203125" style="2" customWidth="1"/>
    <col min="2077" max="2304" width="8.83203125" style="2" customWidth="1"/>
    <col min="2305" max="2305" width="45.83203125" style="2" customWidth="1"/>
    <col min="2306" max="2332" width="14.83203125" style="2" customWidth="1"/>
    <col min="2333" max="2560" width="8.83203125" style="2" customWidth="1"/>
    <col min="2561" max="2561" width="45.83203125" style="2" customWidth="1"/>
    <col min="2562" max="2588" width="14.83203125" style="2" customWidth="1"/>
    <col min="2589" max="2816" width="8.83203125" style="2" customWidth="1"/>
    <col min="2817" max="2817" width="45.83203125" style="2" customWidth="1"/>
    <col min="2818" max="2844" width="14.83203125" style="2" customWidth="1"/>
    <col min="2845" max="3072" width="8.83203125" style="2" customWidth="1"/>
    <col min="3073" max="3073" width="45.83203125" style="2" customWidth="1"/>
    <col min="3074" max="3100" width="14.83203125" style="2" customWidth="1"/>
    <col min="3101" max="3328" width="8.83203125" style="2" customWidth="1"/>
    <col min="3329" max="3329" width="45.83203125" style="2" customWidth="1"/>
    <col min="3330" max="3356" width="14.83203125" style="2" customWidth="1"/>
    <col min="3357" max="3584" width="8.83203125" style="2" customWidth="1"/>
    <col min="3585" max="3585" width="45.83203125" style="2" customWidth="1"/>
    <col min="3586" max="3612" width="14.83203125" style="2" customWidth="1"/>
    <col min="3613" max="3840" width="8.83203125" style="2" customWidth="1"/>
    <col min="3841" max="3841" width="45.83203125" style="2" customWidth="1"/>
    <col min="3842" max="3868" width="14.83203125" style="2" customWidth="1"/>
    <col min="3869" max="4096" width="8.83203125" style="2" customWidth="1"/>
    <col min="4097" max="4097" width="45.83203125" style="2" customWidth="1"/>
    <col min="4098" max="4124" width="14.83203125" style="2" customWidth="1"/>
    <col min="4125" max="4352" width="8.83203125" style="2" customWidth="1"/>
    <col min="4353" max="4353" width="45.83203125" style="2" customWidth="1"/>
    <col min="4354" max="4380" width="14.83203125" style="2" customWidth="1"/>
    <col min="4381" max="4608" width="8.83203125" style="2" customWidth="1"/>
    <col min="4609" max="4609" width="45.83203125" style="2" customWidth="1"/>
    <col min="4610" max="4636" width="14.83203125" style="2" customWidth="1"/>
    <col min="4637" max="4864" width="8.83203125" style="2" customWidth="1"/>
    <col min="4865" max="4865" width="45.83203125" style="2" customWidth="1"/>
    <col min="4866" max="4892" width="14.83203125" style="2" customWidth="1"/>
    <col min="4893" max="5120" width="8.83203125" style="2" customWidth="1"/>
    <col min="5121" max="5121" width="45.83203125" style="2" customWidth="1"/>
    <col min="5122" max="5148" width="14.83203125" style="2" customWidth="1"/>
    <col min="5149" max="5376" width="8.83203125" style="2" customWidth="1"/>
    <col min="5377" max="5377" width="45.83203125" style="2" customWidth="1"/>
    <col min="5378" max="5404" width="14.83203125" style="2" customWidth="1"/>
    <col min="5405" max="5632" width="8.83203125" style="2" customWidth="1"/>
    <col min="5633" max="5633" width="45.83203125" style="2" customWidth="1"/>
    <col min="5634" max="5660" width="14.83203125" style="2" customWidth="1"/>
    <col min="5661" max="5888" width="8.83203125" style="2" customWidth="1"/>
    <col min="5889" max="5889" width="45.83203125" style="2" customWidth="1"/>
    <col min="5890" max="5916" width="14.83203125" style="2" customWidth="1"/>
    <col min="5917" max="6144" width="8.83203125" style="2" customWidth="1"/>
    <col min="6145" max="6145" width="45.83203125" style="2" customWidth="1"/>
    <col min="6146" max="6172" width="14.83203125" style="2" customWidth="1"/>
    <col min="6173" max="6400" width="8.83203125" style="2" customWidth="1"/>
    <col min="6401" max="6401" width="45.83203125" style="2" customWidth="1"/>
    <col min="6402" max="6428" width="14.83203125" style="2" customWidth="1"/>
    <col min="6429" max="6656" width="8.83203125" style="2" customWidth="1"/>
    <col min="6657" max="6657" width="45.83203125" style="2" customWidth="1"/>
    <col min="6658" max="6684" width="14.83203125" style="2" customWidth="1"/>
    <col min="6685" max="6912" width="8.83203125" style="2" customWidth="1"/>
    <col min="6913" max="6913" width="45.83203125" style="2" customWidth="1"/>
    <col min="6914" max="6940" width="14.83203125" style="2" customWidth="1"/>
    <col min="6941" max="7168" width="8.83203125" style="2" customWidth="1"/>
    <col min="7169" max="7169" width="45.83203125" style="2" customWidth="1"/>
    <col min="7170" max="7196" width="14.83203125" style="2" customWidth="1"/>
    <col min="7197" max="7424" width="8.83203125" style="2" customWidth="1"/>
    <col min="7425" max="7425" width="45.83203125" style="2" customWidth="1"/>
    <col min="7426" max="7452" width="14.83203125" style="2" customWidth="1"/>
    <col min="7453" max="7680" width="8.83203125" style="2" customWidth="1"/>
    <col min="7681" max="7681" width="45.83203125" style="2" customWidth="1"/>
    <col min="7682" max="7708" width="14.83203125" style="2" customWidth="1"/>
    <col min="7709" max="7936" width="8.83203125" style="2" customWidth="1"/>
    <col min="7937" max="7937" width="45.83203125" style="2" customWidth="1"/>
    <col min="7938" max="7964" width="14.83203125" style="2" customWidth="1"/>
    <col min="7965" max="8192" width="8.83203125" style="2" customWidth="1"/>
    <col min="8193" max="8193" width="45.83203125" style="2" customWidth="1"/>
    <col min="8194" max="8220" width="14.83203125" style="2" customWidth="1"/>
    <col min="8221" max="8448" width="8.83203125" style="2" customWidth="1"/>
    <col min="8449" max="8449" width="45.83203125" style="2" customWidth="1"/>
    <col min="8450" max="8476" width="14.83203125" style="2" customWidth="1"/>
    <col min="8477" max="8704" width="8.83203125" style="2" customWidth="1"/>
    <col min="8705" max="8705" width="45.83203125" style="2" customWidth="1"/>
    <col min="8706" max="8732" width="14.83203125" style="2" customWidth="1"/>
    <col min="8733" max="8960" width="8.83203125" style="2" customWidth="1"/>
    <col min="8961" max="8961" width="45.83203125" style="2" customWidth="1"/>
    <col min="8962" max="8988" width="14.83203125" style="2" customWidth="1"/>
    <col min="8989" max="9216" width="8.83203125" style="2" customWidth="1"/>
    <col min="9217" max="9217" width="45.83203125" style="2" customWidth="1"/>
    <col min="9218" max="9244" width="14.83203125" style="2" customWidth="1"/>
    <col min="9245" max="9472" width="8.83203125" style="2" customWidth="1"/>
    <col min="9473" max="9473" width="45.83203125" style="2" customWidth="1"/>
    <col min="9474" max="9500" width="14.83203125" style="2" customWidth="1"/>
    <col min="9501" max="9728" width="8.83203125" style="2" customWidth="1"/>
    <col min="9729" max="9729" width="45.83203125" style="2" customWidth="1"/>
    <col min="9730" max="9756" width="14.83203125" style="2" customWidth="1"/>
    <col min="9757" max="9984" width="8.83203125" style="2" customWidth="1"/>
    <col min="9985" max="9985" width="45.83203125" style="2" customWidth="1"/>
    <col min="9986" max="10012" width="14.83203125" style="2" customWidth="1"/>
    <col min="10013" max="10240" width="8.83203125" style="2" customWidth="1"/>
    <col min="10241" max="10241" width="45.83203125" style="2" customWidth="1"/>
    <col min="10242" max="10268" width="14.83203125" style="2" customWidth="1"/>
    <col min="10269" max="10496" width="8.83203125" style="2" customWidth="1"/>
    <col min="10497" max="10497" width="45.83203125" style="2" customWidth="1"/>
    <col min="10498" max="10524" width="14.83203125" style="2" customWidth="1"/>
    <col min="10525" max="10752" width="8.83203125" style="2" customWidth="1"/>
    <col min="10753" max="10753" width="45.83203125" style="2" customWidth="1"/>
    <col min="10754" max="10780" width="14.83203125" style="2" customWidth="1"/>
    <col min="10781" max="11008" width="8.83203125" style="2" customWidth="1"/>
    <col min="11009" max="11009" width="45.83203125" style="2" customWidth="1"/>
    <col min="11010" max="11036" width="14.83203125" style="2" customWidth="1"/>
    <col min="11037" max="11264" width="8.83203125" style="2" customWidth="1"/>
    <col min="11265" max="11265" width="45.83203125" style="2" customWidth="1"/>
    <col min="11266" max="11292" width="14.83203125" style="2" customWidth="1"/>
    <col min="11293" max="11520" width="8.83203125" style="2" customWidth="1"/>
    <col min="11521" max="11521" width="45.83203125" style="2" customWidth="1"/>
    <col min="11522" max="11548" width="14.83203125" style="2" customWidth="1"/>
    <col min="11549" max="11776" width="8.83203125" style="2" customWidth="1"/>
    <col min="11777" max="11777" width="45.83203125" style="2" customWidth="1"/>
    <col min="11778" max="11804" width="14.83203125" style="2" customWidth="1"/>
    <col min="11805" max="12032" width="8.83203125" style="2" customWidth="1"/>
    <col min="12033" max="12033" width="45.83203125" style="2" customWidth="1"/>
    <col min="12034" max="12060" width="14.83203125" style="2" customWidth="1"/>
    <col min="12061" max="12288" width="8.83203125" style="2" customWidth="1"/>
    <col min="12289" max="12289" width="45.83203125" style="2" customWidth="1"/>
    <col min="12290" max="12316" width="14.83203125" style="2" customWidth="1"/>
    <col min="12317" max="12544" width="8.83203125" style="2" customWidth="1"/>
    <col min="12545" max="12545" width="45.83203125" style="2" customWidth="1"/>
    <col min="12546" max="12572" width="14.83203125" style="2" customWidth="1"/>
    <col min="12573" max="12800" width="8.83203125" style="2" customWidth="1"/>
    <col min="12801" max="12801" width="45.83203125" style="2" customWidth="1"/>
    <col min="12802" max="12828" width="14.83203125" style="2" customWidth="1"/>
    <col min="12829" max="13056" width="8.83203125" style="2" customWidth="1"/>
    <col min="13057" max="13057" width="45.83203125" style="2" customWidth="1"/>
    <col min="13058" max="13084" width="14.83203125" style="2" customWidth="1"/>
    <col min="13085" max="13312" width="8.83203125" style="2" customWidth="1"/>
    <col min="13313" max="13313" width="45.83203125" style="2" customWidth="1"/>
    <col min="13314" max="13340" width="14.83203125" style="2" customWidth="1"/>
    <col min="13341" max="13568" width="8.83203125" style="2" customWidth="1"/>
    <col min="13569" max="13569" width="45.83203125" style="2" customWidth="1"/>
    <col min="13570" max="13596" width="14.83203125" style="2" customWidth="1"/>
    <col min="13597" max="13824" width="8.83203125" style="2" customWidth="1"/>
    <col min="13825" max="13825" width="45.83203125" style="2" customWidth="1"/>
    <col min="13826" max="13852" width="14.83203125" style="2" customWidth="1"/>
    <col min="13853" max="14080" width="8.83203125" style="2" customWidth="1"/>
    <col min="14081" max="14081" width="45.83203125" style="2" customWidth="1"/>
    <col min="14082" max="14108" width="14.83203125" style="2" customWidth="1"/>
    <col min="14109" max="14336" width="8.83203125" style="2" customWidth="1"/>
    <col min="14337" max="14337" width="45.83203125" style="2" customWidth="1"/>
    <col min="14338" max="14364" width="14.83203125" style="2" customWidth="1"/>
    <col min="14365" max="14592" width="8.83203125" style="2" customWidth="1"/>
    <col min="14593" max="14593" width="45.83203125" style="2" customWidth="1"/>
    <col min="14594" max="14620" width="14.83203125" style="2" customWidth="1"/>
    <col min="14621" max="14848" width="8.83203125" style="2" customWidth="1"/>
    <col min="14849" max="14849" width="45.83203125" style="2" customWidth="1"/>
    <col min="14850" max="14876" width="14.83203125" style="2" customWidth="1"/>
    <col min="14877" max="15104" width="8.83203125" style="2" customWidth="1"/>
    <col min="15105" max="15105" width="45.83203125" style="2" customWidth="1"/>
    <col min="15106" max="15132" width="14.83203125" style="2" customWidth="1"/>
    <col min="15133" max="15360" width="8.83203125" style="2" customWidth="1"/>
    <col min="15361" max="15361" width="45.83203125" style="2" customWidth="1"/>
    <col min="15362" max="15388" width="14.83203125" style="2" customWidth="1"/>
    <col min="15389" max="15616" width="8.83203125" style="2" customWidth="1"/>
    <col min="15617" max="15617" width="45.83203125" style="2" customWidth="1"/>
    <col min="15618" max="15644" width="14.83203125" style="2" customWidth="1"/>
    <col min="15645" max="15872" width="8.83203125" style="2" customWidth="1"/>
    <col min="15873" max="15873" width="45.83203125" style="2" customWidth="1"/>
    <col min="15874" max="15900" width="14.83203125" style="2" customWidth="1"/>
    <col min="15901" max="16128" width="8.83203125" style="2" customWidth="1"/>
    <col min="16129" max="16129" width="45.83203125" style="2" customWidth="1"/>
    <col min="16130" max="16156" width="14.83203125" style="2" customWidth="1"/>
    <col min="16157" max="16384" width="8.83203125" style="2" customWidth="1"/>
  </cols>
  <sheetData>
    <row r="5" spans="1:234" x14ac:dyDescent="0.2">
      <c r="A5" s="1" t="s">
        <v>635</v>
      </c>
    </row>
    <row r="7" spans="1:234" ht="17" x14ac:dyDescent="0.2">
      <c r="A7" s="3" t="s">
        <v>636</v>
      </c>
      <c r="B7" s="4" t="s">
        <v>637</v>
      </c>
      <c r="C7" s="2" t="s">
        <v>638</v>
      </c>
      <c r="D7" s="5" t="s">
        <v>4</v>
      </c>
      <c r="E7" s="4" t="s">
        <v>78</v>
      </c>
      <c r="F7" s="2" t="s">
        <v>79</v>
      </c>
    </row>
    <row r="8" spans="1:234" x14ac:dyDescent="0.2">
      <c r="A8" s="5"/>
      <c r="B8" s="4" t="s">
        <v>80</v>
      </c>
      <c r="C8" s="2" t="s">
        <v>81</v>
      </c>
      <c r="D8" s="5" t="s">
        <v>4</v>
      </c>
      <c r="E8" s="4" t="s">
        <v>7</v>
      </c>
      <c r="F8" s="2" t="s">
        <v>8</v>
      </c>
    </row>
    <row r="9" spans="1:234" x14ac:dyDescent="0.2">
      <c r="A9" s="5"/>
      <c r="B9" s="4" t="s">
        <v>2</v>
      </c>
      <c r="C9" s="2" t="s">
        <v>82</v>
      </c>
      <c r="D9" s="5" t="s">
        <v>4</v>
      </c>
      <c r="E9" s="4" t="s">
        <v>5</v>
      </c>
      <c r="F9" s="2" t="s">
        <v>6</v>
      </c>
    </row>
    <row r="10" spans="1:234" x14ac:dyDescent="0.2">
      <c r="A10" s="5"/>
      <c r="B10" s="4" t="s">
        <v>9</v>
      </c>
      <c r="C10" s="2" t="s">
        <v>10</v>
      </c>
      <c r="D10" s="5" t="s">
        <v>4</v>
      </c>
      <c r="E10" s="4" t="s">
        <v>11</v>
      </c>
      <c r="F10" s="6" t="s">
        <v>12</v>
      </c>
    </row>
    <row r="13" spans="1:234" x14ac:dyDescent="0.2">
      <c r="A13" s="8" t="s">
        <v>639</v>
      </c>
      <c r="B13" s="8"/>
      <c r="C13" s="8"/>
      <c r="D13" s="8"/>
      <c r="E13" s="8"/>
      <c r="F13" s="8"/>
      <c r="G13" s="8"/>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9"/>
      <c r="GM13" s="9"/>
      <c r="GN13" s="9"/>
      <c r="GO13" s="9"/>
      <c r="GP13" s="9"/>
      <c r="GQ13" s="9"/>
      <c r="GR13" s="9"/>
      <c r="GS13" s="9"/>
      <c r="GT13" s="9"/>
      <c r="GU13" s="9"/>
      <c r="GV13" s="9"/>
      <c r="GW13" s="9"/>
      <c r="GX13" s="9"/>
      <c r="GY13" s="9"/>
      <c r="GZ13" s="9"/>
      <c r="HA13" s="9"/>
      <c r="HB13" s="9"/>
      <c r="HC13" s="9"/>
      <c r="HD13" s="9"/>
      <c r="HE13" s="9"/>
      <c r="HF13" s="9"/>
      <c r="HG13" s="9"/>
      <c r="HH13" s="9"/>
      <c r="HI13" s="9"/>
      <c r="HJ13" s="9"/>
      <c r="HK13" s="9"/>
      <c r="HL13" s="9"/>
      <c r="HM13" s="9"/>
      <c r="HN13" s="9"/>
      <c r="HO13" s="9"/>
      <c r="HP13" s="9"/>
      <c r="HQ13" s="9"/>
      <c r="HR13" s="9"/>
      <c r="HS13" s="9"/>
      <c r="HT13" s="9"/>
      <c r="HU13" s="9"/>
      <c r="HV13" s="9"/>
      <c r="HW13" s="9"/>
      <c r="HX13" s="9"/>
      <c r="HY13" s="9"/>
      <c r="HZ13" s="9"/>
    </row>
    <row r="14" spans="1:234" ht="51" x14ac:dyDescent="0.2">
      <c r="A14" s="10" t="s">
        <v>16</v>
      </c>
      <c r="B14" s="11" t="s">
        <v>86</v>
      </c>
      <c r="C14" s="11" t="s">
        <v>87</v>
      </c>
      <c r="D14" s="11" t="s">
        <v>88</v>
      </c>
      <c r="E14" s="11" t="s">
        <v>89</v>
      </c>
      <c r="F14" s="11" t="s">
        <v>90</v>
      </c>
      <c r="G14" s="11" t="s">
        <v>91</v>
      </c>
    </row>
    <row r="15" spans="1:234" ht="17" x14ac:dyDescent="0.2">
      <c r="A15" s="12" t="s">
        <v>23</v>
      </c>
      <c r="B15" s="13" t="s">
        <v>24</v>
      </c>
      <c r="C15" s="13" t="s">
        <v>24</v>
      </c>
      <c r="D15" s="13" t="s">
        <v>24</v>
      </c>
      <c r="E15" s="13" t="s">
        <v>24</v>
      </c>
      <c r="F15" s="13" t="s">
        <v>24</v>
      </c>
      <c r="G15" s="13" t="s">
        <v>24</v>
      </c>
    </row>
    <row r="16" spans="1:234" x14ac:dyDescent="0.2">
      <c r="A16" s="14" t="s">
        <v>640</v>
      </c>
      <c r="B16" s="5"/>
      <c r="C16" s="5"/>
      <c r="D16" s="5"/>
      <c r="E16" s="5"/>
      <c r="F16" s="5"/>
      <c r="G16" s="5"/>
    </row>
    <row r="17" spans="1:7" ht="17" x14ac:dyDescent="0.2">
      <c r="A17" s="5" t="s">
        <v>641</v>
      </c>
      <c r="B17" s="15">
        <v>1068</v>
      </c>
      <c r="C17" s="15">
        <v>735</v>
      </c>
      <c r="D17" s="15">
        <v>922</v>
      </c>
      <c r="E17" s="15">
        <v>1234</v>
      </c>
      <c r="F17" s="15" t="s">
        <v>52</v>
      </c>
      <c r="G17" s="15" t="s">
        <v>52</v>
      </c>
    </row>
    <row r="18" spans="1:7" ht="17" x14ac:dyDescent="0.2">
      <c r="A18" s="5" t="s">
        <v>642</v>
      </c>
      <c r="B18" s="15">
        <v>57023</v>
      </c>
      <c r="C18" s="15">
        <v>57152</v>
      </c>
      <c r="D18" s="15">
        <v>60422</v>
      </c>
      <c r="E18" s="15">
        <v>64656</v>
      </c>
      <c r="F18" s="15" t="s">
        <v>52</v>
      </c>
      <c r="G18" s="15" t="s">
        <v>52</v>
      </c>
    </row>
    <row r="19" spans="1:7" ht="17" x14ac:dyDescent="0.2">
      <c r="A19" s="5" t="s">
        <v>643</v>
      </c>
      <c r="B19" s="15" t="s">
        <v>52</v>
      </c>
      <c r="C19" s="15" t="s">
        <v>52</v>
      </c>
      <c r="D19" s="15" t="s">
        <v>52</v>
      </c>
      <c r="E19" s="15">
        <v>-568</v>
      </c>
      <c r="F19" s="15" t="s">
        <v>52</v>
      </c>
      <c r="G19" s="15" t="s">
        <v>52</v>
      </c>
    </row>
    <row r="20" spans="1:7" ht="17" x14ac:dyDescent="0.2">
      <c r="A20" s="5" t="s">
        <v>644</v>
      </c>
      <c r="B20" s="15" t="s">
        <v>52</v>
      </c>
      <c r="C20" s="15" t="s">
        <v>52</v>
      </c>
      <c r="D20" s="15" t="s">
        <v>52</v>
      </c>
      <c r="E20" s="15" t="s">
        <v>52</v>
      </c>
      <c r="F20" s="15" t="s">
        <v>52</v>
      </c>
      <c r="G20" s="15" t="s">
        <v>52</v>
      </c>
    </row>
    <row r="21" spans="1:7" ht="17" x14ac:dyDescent="0.2">
      <c r="A21" s="5" t="s">
        <v>645</v>
      </c>
      <c r="B21" s="15" t="s">
        <v>52</v>
      </c>
      <c r="C21" s="15" t="s">
        <v>52</v>
      </c>
      <c r="D21" s="15" t="s">
        <v>52</v>
      </c>
      <c r="E21" s="15" t="s">
        <v>52</v>
      </c>
      <c r="F21" s="15" t="s">
        <v>52</v>
      </c>
      <c r="G21" s="15" t="s">
        <v>52</v>
      </c>
    </row>
    <row r="22" spans="1:7" ht="17" x14ac:dyDescent="0.2">
      <c r="A22" s="5" t="s">
        <v>646</v>
      </c>
      <c r="B22" s="15" t="s">
        <v>52</v>
      </c>
      <c r="C22" s="15" t="s">
        <v>52</v>
      </c>
      <c r="D22" s="15" t="s">
        <v>52</v>
      </c>
      <c r="E22" s="15" t="s">
        <v>52</v>
      </c>
      <c r="F22" s="15" t="s">
        <v>52</v>
      </c>
      <c r="G22" s="15" t="s">
        <v>52</v>
      </c>
    </row>
    <row r="23" spans="1:7" ht="17" x14ac:dyDescent="0.2">
      <c r="A23" s="5" t="s">
        <v>647</v>
      </c>
      <c r="B23" s="15" t="s">
        <v>52</v>
      </c>
      <c r="C23" s="15" t="s">
        <v>52</v>
      </c>
      <c r="D23" s="15" t="s">
        <v>52</v>
      </c>
      <c r="E23" s="15" t="s">
        <v>52</v>
      </c>
      <c r="F23" s="15" t="s">
        <v>52</v>
      </c>
      <c r="G23" s="15" t="s">
        <v>52</v>
      </c>
    </row>
    <row r="24" spans="1:7" ht="17" x14ac:dyDescent="0.2">
      <c r="A24" s="14" t="s">
        <v>648</v>
      </c>
      <c r="B24" s="17">
        <v>58091</v>
      </c>
      <c r="C24" s="17">
        <v>57887</v>
      </c>
      <c r="D24" s="17">
        <v>61344</v>
      </c>
      <c r="E24" s="17">
        <v>65322</v>
      </c>
      <c r="F24" s="17" t="s">
        <v>52</v>
      </c>
      <c r="G24" s="17" t="s">
        <v>52</v>
      </c>
    </row>
    <row r="25" spans="1:7" x14ac:dyDescent="0.2">
      <c r="A25" s="5"/>
      <c r="B25" s="5"/>
      <c r="C25" s="5"/>
      <c r="D25" s="5"/>
      <c r="E25" s="5"/>
      <c r="F25" s="5"/>
      <c r="G25" s="5"/>
    </row>
    <row r="26" spans="1:7" x14ac:dyDescent="0.2">
      <c r="A26" s="14" t="s">
        <v>649</v>
      </c>
      <c r="B26" s="5"/>
      <c r="C26" s="5"/>
      <c r="D26" s="5"/>
      <c r="E26" s="5"/>
      <c r="F26" s="5"/>
      <c r="G26" s="5"/>
    </row>
    <row r="27" spans="1:7" ht="17" x14ac:dyDescent="0.2">
      <c r="A27" s="5" t="s">
        <v>642</v>
      </c>
      <c r="B27" s="15" t="s">
        <v>52</v>
      </c>
      <c r="C27" s="15" t="s">
        <v>52</v>
      </c>
      <c r="D27" s="15" t="s">
        <v>52</v>
      </c>
      <c r="E27" s="15" t="s">
        <v>52</v>
      </c>
      <c r="F27" s="15" t="s">
        <v>52</v>
      </c>
      <c r="G27" s="15" t="s">
        <v>52</v>
      </c>
    </row>
    <row r="28" spans="1:7" ht="17" x14ac:dyDescent="0.2">
      <c r="A28" s="14" t="s">
        <v>650</v>
      </c>
      <c r="B28" s="17" t="s">
        <v>52</v>
      </c>
      <c r="C28" s="17" t="s">
        <v>52</v>
      </c>
      <c r="D28" s="17" t="s">
        <v>52</v>
      </c>
      <c r="E28" s="17" t="s">
        <v>52</v>
      </c>
      <c r="F28" s="17" t="s">
        <v>52</v>
      </c>
      <c r="G28" s="17" t="s">
        <v>52</v>
      </c>
    </row>
    <row r="29" spans="1:7" x14ac:dyDescent="0.2">
      <c r="A29" s="5"/>
      <c r="B29" s="5"/>
      <c r="C29" s="5"/>
      <c r="D29" s="5"/>
      <c r="E29" s="5"/>
      <c r="F29" s="5"/>
      <c r="G29" s="5"/>
    </row>
    <row r="30" spans="1:7" x14ac:dyDescent="0.2">
      <c r="A30" s="14" t="s">
        <v>651</v>
      </c>
      <c r="B30" s="5"/>
      <c r="C30" s="5"/>
      <c r="D30" s="5"/>
      <c r="E30" s="5"/>
      <c r="F30" s="5"/>
      <c r="G30" s="5"/>
    </row>
    <row r="31" spans="1:7" ht="17" x14ac:dyDescent="0.2">
      <c r="A31" s="5" t="s">
        <v>641</v>
      </c>
      <c r="B31" s="15">
        <v>193</v>
      </c>
      <c r="C31" s="15">
        <v>-175</v>
      </c>
      <c r="D31" s="15">
        <v>176</v>
      </c>
      <c r="E31" s="15">
        <v>135</v>
      </c>
      <c r="F31" s="15" t="s">
        <v>52</v>
      </c>
      <c r="G31" s="15" t="s">
        <v>52</v>
      </c>
    </row>
    <row r="32" spans="1:7" ht="17" x14ac:dyDescent="0.2">
      <c r="A32" s="5" t="s">
        <v>642</v>
      </c>
      <c r="B32" s="15">
        <v>2378</v>
      </c>
      <c r="C32" s="15">
        <v>1963</v>
      </c>
      <c r="D32" s="15">
        <v>2649</v>
      </c>
      <c r="E32" s="15">
        <v>2487</v>
      </c>
      <c r="F32" s="15" t="s">
        <v>52</v>
      </c>
      <c r="G32" s="15" t="s">
        <v>52</v>
      </c>
    </row>
    <row r="33" spans="1:7" ht="17" x14ac:dyDescent="0.2">
      <c r="A33" s="5" t="s">
        <v>643</v>
      </c>
      <c r="B33" s="15" t="s">
        <v>52</v>
      </c>
      <c r="C33" s="15" t="s">
        <v>52</v>
      </c>
      <c r="D33" s="15" t="s">
        <v>52</v>
      </c>
      <c r="E33" s="15">
        <v>-113</v>
      </c>
      <c r="F33" s="15" t="s">
        <v>52</v>
      </c>
      <c r="G33" s="15" t="s">
        <v>52</v>
      </c>
    </row>
    <row r="34" spans="1:7" ht="17" x14ac:dyDescent="0.2">
      <c r="A34" s="5" t="s">
        <v>652</v>
      </c>
      <c r="B34" s="15" t="s">
        <v>52</v>
      </c>
      <c r="C34" s="15" t="s">
        <v>52</v>
      </c>
      <c r="D34" s="15" t="s">
        <v>52</v>
      </c>
      <c r="E34" s="15" t="s">
        <v>52</v>
      </c>
      <c r="F34" s="15" t="s">
        <v>52</v>
      </c>
      <c r="G34" s="15" t="s">
        <v>52</v>
      </c>
    </row>
    <row r="35" spans="1:7" ht="17" x14ac:dyDescent="0.2">
      <c r="A35" s="5" t="s">
        <v>644</v>
      </c>
      <c r="B35" s="15" t="s">
        <v>52</v>
      </c>
      <c r="C35" s="15" t="s">
        <v>52</v>
      </c>
      <c r="D35" s="15" t="s">
        <v>52</v>
      </c>
      <c r="E35" s="15" t="s">
        <v>52</v>
      </c>
      <c r="F35" s="15" t="s">
        <v>52</v>
      </c>
      <c r="G35" s="15" t="s">
        <v>52</v>
      </c>
    </row>
    <row r="36" spans="1:7" ht="17" x14ac:dyDescent="0.2">
      <c r="A36" s="5" t="s">
        <v>646</v>
      </c>
      <c r="B36" s="15" t="s">
        <v>52</v>
      </c>
      <c r="C36" s="15" t="s">
        <v>52</v>
      </c>
      <c r="D36" s="15" t="s">
        <v>52</v>
      </c>
      <c r="E36" s="15" t="s">
        <v>52</v>
      </c>
      <c r="F36" s="15" t="s">
        <v>52</v>
      </c>
      <c r="G36" s="15" t="s">
        <v>52</v>
      </c>
    </row>
    <row r="37" spans="1:7" ht="17" x14ac:dyDescent="0.2">
      <c r="A37" s="5" t="s">
        <v>647</v>
      </c>
      <c r="B37" s="15" t="s">
        <v>52</v>
      </c>
      <c r="C37" s="15" t="s">
        <v>52</v>
      </c>
      <c r="D37" s="15" t="s">
        <v>52</v>
      </c>
      <c r="E37" s="15" t="s">
        <v>52</v>
      </c>
      <c r="F37" s="15" t="s">
        <v>52</v>
      </c>
      <c r="G37" s="15" t="s">
        <v>52</v>
      </c>
    </row>
    <row r="38" spans="1:7" ht="17" x14ac:dyDescent="0.2">
      <c r="A38" s="14" t="s">
        <v>653</v>
      </c>
      <c r="B38" s="17">
        <v>2571</v>
      </c>
      <c r="C38" s="17">
        <v>1788</v>
      </c>
      <c r="D38" s="17">
        <v>2825</v>
      </c>
      <c r="E38" s="17">
        <v>2509</v>
      </c>
      <c r="F38" s="17" t="s">
        <v>52</v>
      </c>
      <c r="G38" s="17" t="s">
        <v>52</v>
      </c>
    </row>
    <row r="39" spans="1:7" x14ac:dyDescent="0.2">
      <c r="A39" s="5"/>
      <c r="B39" s="5"/>
      <c r="C39" s="5"/>
      <c r="D39" s="5"/>
      <c r="E39" s="5"/>
      <c r="F39" s="5"/>
      <c r="G39" s="5"/>
    </row>
    <row r="40" spans="1:7" x14ac:dyDescent="0.2">
      <c r="A40" s="14" t="s">
        <v>109</v>
      </c>
      <c r="B40" s="5"/>
      <c r="C40" s="5"/>
      <c r="D40" s="5"/>
      <c r="E40" s="5"/>
      <c r="F40" s="5"/>
      <c r="G40" s="5"/>
    </row>
    <row r="41" spans="1:7" ht="17" x14ac:dyDescent="0.2">
      <c r="A41" s="5" t="s">
        <v>642</v>
      </c>
      <c r="B41" s="15" t="s">
        <v>52</v>
      </c>
      <c r="C41" s="15" t="s">
        <v>52</v>
      </c>
      <c r="D41" s="15" t="s">
        <v>52</v>
      </c>
      <c r="E41" s="15" t="s">
        <v>52</v>
      </c>
      <c r="F41" s="15" t="s">
        <v>52</v>
      </c>
      <c r="G41" s="15" t="s">
        <v>52</v>
      </c>
    </row>
    <row r="42" spans="1:7" ht="17" x14ac:dyDescent="0.2">
      <c r="A42" s="14" t="s">
        <v>654</v>
      </c>
      <c r="B42" s="17" t="s">
        <v>52</v>
      </c>
      <c r="C42" s="17" t="s">
        <v>52</v>
      </c>
      <c r="D42" s="17" t="s">
        <v>52</v>
      </c>
      <c r="E42" s="17" t="s">
        <v>52</v>
      </c>
      <c r="F42" s="17" t="s">
        <v>52</v>
      </c>
      <c r="G42" s="17" t="s">
        <v>52</v>
      </c>
    </row>
    <row r="43" spans="1:7" x14ac:dyDescent="0.2">
      <c r="A43" s="5"/>
      <c r="B43" s="5"/>
      <c r="C43" s="5"/>
      <c r="D43" s="5"/>
      <c r="E43" s="5"/>
      <c r="F43" s="5"/>
      <c r="G43" s="5"/>
    </row>
    <row r="44" spans="1:7" x14ac:dyDescent="0.2">
      <c r="A44" s="14" t="s">
        <v>655</v>
      </c>
      <c r="B44" s="5"/>
      <c r="C44" s="5"/>
      <c r="D44" s="5"/>
      <c r="E44" s="5"/>
      <c r="F44" s="5"/>
      <c r="G44" s="5"/>
    </row>
    <row r="45" spans="1:7" ht="17" x14ac:dyDescent="0.2">
      <c r="A45" s="5" t="s">
        <v>642</v>
      </c>
      <c r="B45" s="15" t="s">
        <v>52</v>
      </c>
      <c r="C45" s="15" t="s">
        <v>52</v>
      </c>
      <c r="D45" s="15" t="s">
        <v>52</v>
      </c>
      <c r="E45" s="15" t="s">
        <v>52</v>
      </c>
      <c r="F45" s="15" t="s">
        <v>52</v>
      </c>
      <c r="G45" s="15" t="s">
        <v>52</v>
      </c>
    </row>
    <row r="46" spans="1:7" ht="17" x14ac:dyDescent="0.2">
      <c r="A46" s="14" t="s">
        <v>656</v>
      </c>
      <c r="B46" s="17" t="s">
        <v>52</v>
      </c>
      <c r="C46" s="17" t="s">
        <v>52</v>
      </c>
      <c r="D46" s="17" t="s">
        <v>52</v>
      </c>
      <c r="E46" s="17" t="s">
        <v>52</v>
      </c>
      <c r="F46" s="17" t="s">
        <v>52</v>
      </c>
      <c r="G46" s="17" t="s">
        <v>52</v>
      </c>
    </row>
    <row r="47" spans="1:7" x14ac:dyDescent="0.2">
      <c r="A47" s="5"/>
      <c r="B47" s="5"/>
      <c r="C47" s="5"/>
      <c r="D47" s="5"/>
      <c r="E47" s="5"/>
      <c r="F47" s="5"/>
      <c r="G47" s="5"/>
    </row>
    <row r="48" spans="1:7" x14ac:dyDescent="0.2">
      <c r="A48" s="14" t="s">
        <v>657</v>
      </c>
      <c r="B48" s="5"/>
      <c r="C48" s="5"/>
      <c r="D48" s="5"/>
      <c r="E48" s="5"/>
      <c r="F48" s="5"/>
      <c r="G48" s="5"/>
    </row>
    <row r="49" spans="1:7" ht="17" x14ac:dyDescent="0.2">
      <c r="A49" s="5" t="s">
        <v>642</v>
      </c>
      <c r="B49" s="15" t="s">
        <v>52</v>
      </c>
      <c r="C49" s="15" t="s">
        <v>52</v>
      </c>
      <c r="D49" s="15" t="s">
        <v>52</v>
      </c>
      <c r="E49" s="15" t="s">
        <v>52</v>
      </c>
      <c r="F49" s="15" t="s">
        <v>52</v>
      </c>
      <c r="G49" s="15" t="s">
        <v>52</v>
      </c>
    </row>
    <row r="50" spans="1:7" ht="17" x14ac:dyDescent="0.2">
      <c r="A50" s="14" t="s">
        <v>658</v>
      </c>
      <c r="B50" s="17" t="s">
        <v>52</v>
      </c>
      <c r="C50" s="17" t="s">
        <v>52</v>
      </c>
      <c r="D50" s="17" t="s">
        <v>52</v>
      </c>
      <c r="E50" s="17" t="s">
        <v>52</v>
      </c>
      <c r="F50" s="17" t="s">
        <v>52</v>
      </c>
      <c r="G50" s="17" t="s">
        <v>52</v>
      </c>
    </row>
    <row r="51" spans="1:7" x14ac:dyDescent="0.2">
      <c r="A51" s="5"/>
      <c r="B51" s="5"/>
      <c r="C51" s="5"/>
      <c r="D51" s="5"/>
      <c r="E51" s="5"/>
      <c r="F51" s="5"/>
      <c r="G51" s="5"/>
    </row>
    <row r="52" spans="1:7" x14ac:dyDescent="0.2">
      <c r="A52" s="14" t="s">
        <v>659</v>
      </c>
      <c r="B52" s="5"/>
      <c r="C52" s="5"/>
      <c r="D52" s="5"/>
      <c r="E52" s="5"/>
      <c r="F52" s="5"/>
      <c r="G52" s="5"/>
    </row>
    <row r="53" spans="1:7" ht="17" x14ac:dyDescent="0.2">
      <c r="A53" s="5" t="s">
        <v>642</v>
      </c>
      <c r="B53" s="15" t="s">
        <v>52</v>
      </c>
      <c r="C53" s="15" t="s">
        <v>52</v>
      </c>
      <c r="D53" s="15" t="s">
        <v>52</v>
      </c>
      <c r="E53" s="15" t="s">
        <v>52</v>
      </c>
      <c r="F53" s="15" t="s">
        <v>52</v>
      </c>
      <c r="G53" s="15" t="s">
        <v>52</v>
      </c>
    </row>
    <row r="54" spans="1:7" ht="17" x14ac:dyDescent="0.2">
      <c r="A54" s="14" t="s">
        <v>660</v>
      </c>
      <c r="B54" s="17" t="s">
        <v>52</v>
      </c>
      <c r="C54" s="17" t="s">
        <v>52</v>
      </c>
      <c r="D54" s="17" t="s">
        <v>52</v>
      </c>
      <c r="E54" s="17" t="s">
        <v>52</v>
      </c>
      <c r="F54" s="17" t="s">
        <v>52</v>
      </c>
      <c r="G54" s="17" t="s">
        <v>52</v>
      </c>
    </row>
    <row r="55" spans="1:7" x14ac:dyDescent="0.2">
      <c r="A55" s="5"/>
      <c r="B55" s="5"/>
      <c r="C55" s="5"/>
      <c r="D55" s="5"/>
      <c r="E55" s="5"/>
      <c r="F55" s="5"/>
      <c r="G55" s="5"/>
    </row>
    <row r="56" spans="1:7" x14ac:dyDescent="0.2">
      <c r="A56" s="14" t="s">
        <v>661</v>
      </c>
      <c r="B56" s="5"/>
      <c r="C56" s="5"/>
      <c r="D56" s="5"/>
      <c r="E56" s="5"/>
      <c r="F56" s="5"/>
      <c r="G56" s="5"/>
    </row>
    <row r="57" spans="1:7" ht="17" x14ac:dyDescent="0.2">
      <c r="A57" s="5" t="s">
        <v>641</v>
      </c>
      <c r="B57" s="15">
        <v>11019</v>
      </c>
      <c r="C57" s="15">
        <v>8456</v>
      </c>
      <c r="D57" s="15">
        <v>9272</v>
      </c>
      <c r="E57" s="15">
        <v>705</v>
      </c>
      <c r="F57" s="15">
        <v>1142</v>
      </c>
      <c r="G57" s="15" t="s">
        <v>52</v>
      </c>
    </row>
    <row r="58" spans="1:7" ht="17" x14ac:dyDescent="0.2">
      <c r="A58" s="5" t="s">
        <v>642</v>
      </c>
      <c r="B58" s="15">
        <v>30977</v>
      </c>
      <c r="C58" s="15">
        <v>31358</v>
      </c>
      <c r="D58" s="15">
        <v>34410</v>
      </c>
      <c r="E58" s="15">
        <v>27250</v>
      </c>
      <c r="F58" s="15">
        <v>27490</v>
      </c>
      <c r="G58" s="15" t="s">
        <v>52</v>
      </c>
    </row>
    <row r="59" spans="1:7" ht="17" x14ac:dyDescent="0.2">
      <c r="A59" s="5" t="s">
        <v>662</v>
      </c>
      <c r="B59" s="15">
        <v>4643</v>
      </c>
      <c r="C59" s="15">
        <v>552</v>
      </c>
      <c r="D59" s="15">
        <v>38</v>
      </c>
      <c r="E59" s="15">
        <v>16</v>
      </c>
      <c r="F59" s="15" t="s">
        <v>52</v>
      </c>
      <c r="G59" s="15" t="s">
        <v>52</v>
      </c>
    </row>
    <row r="60" spans="1:7" ht="17" x14ac:dyDescent="0.2">
      <c r="A60" s="5" t="s">
        <v>663</v>
      </c>
      <c r="B60" s="15">
        <v>127</v>
      </c>
      <c r="C60" s="15" t="s">
        <v>52</v>
      </c>
      <c r="D60" s="15" t="s">
        <v>52</v>
      </c>
      <c r="E60" s="15" t="s">
        <v>52</v>
      </c>
      <c r="F60" s="15" t="s">
        <v>52</v>
      </c>
      <c r="G60" s="15" t="s">
        <v>52</v>
      </c>
    </row>
    <row r="61" spans="1:7" ht="17" x14ac:dyDescent="0.2">
      <c r="A61" s="5" t="s">
        <v>664</v>
      </c>
      <c r="B61" s="15">
        <v>1083</v>
      </c>
      <c r="C61" s="15" t="s">
        <v>52</v>
      </c>
      <c r="D61" s="15" t="s">
        <v>52</v>
      </c>
      <c r="E61" s="15" t="s">
        <v>52</v>
      </c>
      <c r="F61" s="15" t="s">
        <v>52</v>
      </c>
      <c r="G61" s="15" t="s">
        <v>52</v>
      </c>
    </row>
    <row r="62" spans="1:7" ht="17" x14ac:dyDescent="0.2">
      <c r="A62" s="5" t="s">
        <v>665</v>
      </c>
      <c r="B62" s="15">
        <v>1</v>
      </c>
      <c r="C62" s="15" t="s">
        <v>52</v>
      </c>
      <c r="D62" s="15" t="s">
        <v>52</v>
      </c>
      <c r="E62" s="15" t="s">
        <v>52</v>
      </c>
      <c r="F62" s="15" t="s">
        <v>52</v>
      </c>
      <c r="G62" s="15" t="s">
        <v>52</v>
      </c>
    </row>
    <row r="63" spans="1:7" ht="17" x14ac:dyDescent="0.2">
      <c r="A63" s="5" t="s">
        <v>666</v>
      </c>
      <c r="B63" s="15" t="s">
        <v>52</v>
      </c>
      <c r="C63" s="15" t="s">
        <v>52</v>
      </c>
      <c r="D63" s="15" t="s">
        <v>52</v>
      </c>
      <c r="E63" s="15" t="s">
        <v>52</v>
      </c>
      <c r="F63" s="15" t="s">
        <v>52</v>
      </c>
      <c r="G63" s="15" t="s">
        <v>52</v>
      </c>
    </row>
    <row r="64" spans="1:7" ht="17" x14ac:dyDescent="0.2">
      <c r="A64" s="5" t="s">
        <v>652</v>
      </c>
      <c r="B64" s="15" t="s">
        <v>52</v>
      </c>
      <c r="C64" s="15" t="s">
        <v>52</v>
      </c>
      <c r="D64" s="15" t="s">
        <v>52</v>
      </c>
      <c r="E64" s="15" t="s">
        <v>52</v>
      </c>
      <c r="F64" s="15" t="s">
        <v>52</v>
      </c>
      <c r="G64" s="15" t="s">
        <v>52</v>
      </c>
    </row>
    <row r="65" spans="1:7" ht="17" x14ac:dyDescent="0.2">
      <c r="A65" s="14" t="s">
        <v>451</v>
      </c>
      <c r="B65" s="17">
        <v>47850</v>
      </c>
      <c r="C65" s="17">
        <v>40366</v>
      </c>
      <c r="D65" s="17">
        <v>43720</v>
      </c>
      <c r="E65" s="17">
        <v>27971</v>
      </c>
      <c r="F65" s="17">
        <v>28632</v>
      </c>
      <c r="G65" s="17" t="s">
        <v>52</v>
      </c>
    </row>
    <row r="66" spans="1:7" x14ac:dyDescent="0.2">
      <c r="A66" s="5"/>
      <c r="B66" s="5"/>
      <c r="C66" s="5"/>
      <c r="D66" s="5"/>
      <c r="E66" s="5"/>
      <c r="F66" s="5"/>
      <c r="G66" s="5"/>
    </row>
    <row r="67" spans="1:7" x14ac:dyDescent="0.2">
      <c r="A67" s="14" t="s">
        <v>667</v>
      </c>
      <c r="B67" s="5"/>
      <c r="C67" s="5"/>
      <c r="D67" s="5"/>
      <c r="E67" s="5"/>
      <c r="F67" s="5"/>
      <c r="G67" s="5"/>
    </row>
    <row r="68" spans="1:7" ht="17" x14ac:dyDescent="0.2">
      <c r="A68" s="5" t="s">
        <v>641</v>
      </c>
      <c r="B68" s="15">
        <v>141</v>
      </c>
      <c r="C68" s="15">
        <v>57</v>
      </c>
      <c r="D68" s="15">
        <v>65</v>
      </c>
      <c r="E68" s="15">
        <v>54</v>
      </c>
      <c r="F68" s="15" t="s">
        <v>52</v>
      </c>
      <c r="G68" s="15" t="s">
        <v>52</v>
      </c>
    </row>
    <row r="69" spans="1:7" ht="17" x14ac:dyDescent="0.2">
      <c r="A69" s="5" t="s">
        <v>642</v>
      </c>
      <c r="B69" s="15">
        <v>1668</v>
      </c>
      <c r="C69" s="15">
        <v>1687</v>
      </c>
      <c r="D69" s="15">
        <v>1653</v>
      </c>
      <c r="E69" s="15">
        <v>1646</v>
      </c>
      <c r="F69" s="15" t="s">
        <v>52</v>
      </c>
      <c r="G69" s="15" t="s">
        <v>52</v>
      </c>
    </row>
    <row r="70" spans="1:7" ht="17" x14ac:dyDescent="0.2">
      <c r="A70" s="5" t="s">
        <v>643</v>
      </c>
      <c r="B70" s="15" t="s">
        <v>52</v>
      </c>
      <c r="C70" s="15" t="s">
        <v>52</v>
      </c>
      <c r="D70" s="15" t="s">
        <v>52</v>
      </c>
      <c r="E70" s="15">
        <v>-34</v>
      </c>
      <c r="F70" s="15" t="s">
        <v>52</v>
      </c>
      <c r="G70" s="15" t="s">
        <v>52</v>
      </c>
    </row>
    <row r="71" spans="1:7" ht="17" x14ac:dyDescent="0.2">
      <c r="A71" s="14" t="s">
        <v>668</v>
      </c>
      <c r="B71" s="17">
        <v>1809</v>
      </c>
      <c r="C71" s="17">
        <v>1744</v>
      </c>
      <c r="D71" s="17">
        <v>1718</v>
      </c>
      <c r="E71" s="17">
        <v>1666</v>
      </c>
      <c r="F71" s="17" t="s">
        <v>52</v>
      </c>
      <c r="G71" s="17" t="s">
        <v>52</v>
      </c>
    </row>
    <row r="72" spans="1:7" x14ac:dyDescent="0.2">
      <c r="A72" s="5"/>
      <c r="B72" s="5"/>
      <c r="C72" s="5"/>
      <c r="D72" s="5"/>
      <c r="E72" s="5"/>
      <c r="F72" s="5"/>
      <c r="G72" s="5"/>
    </row>
    <row r="73" spans="1:7" x14ac:dyDescent="0.2">
      <c r="A73" s="14" t="s">
        <v>293</v>
      </c>
      <c r="B73" s="5"/>
      <c r="C73" s="5"/>
      <c r="D73" s="5"/>
      <c r="E73" s="5"/>
      <c r="F73" s="5"/>
      <c r="G73" s="5"/>
    </row>
    <row r="74" spans="1:7" ht="17" x14ac:dyDescent="0.2">
      <c r="A74" s="5" t="s">
        <v>641</v>
      </c>
      <c r="B74" s="15">
        <v>-44</v>
      </c>
      <c r="C74" s="15">
        <v>-55</v>
      </c>
      <c r="D74" s="15">
        <v>-85</v>
      </c>
      <c r="E74" s="15">
        <v>-14</v>
      </c>
      <c r="F74" s="15" t="s">
        <v>52</v>
      </c>
      <c r="G74" s="15" t="s">
        <v>52</v>
      </c>
    </row>
    <row r="75" spans="1:7" ht="17" x14ac:dyDescent="0.2">
      <c r="A75" s="5" t="s">
        <v>642</v>
      </c>
      <c r="B75" s="15">
        <v>-846</v>
      </c>
      <c r="C75" s="15">
        <v>-1515</v>
      </c>
      <c r="D75" s="15">
        <v>-1770</v>
      </c>
      <c r="E75" s="15">
        <v>-1280</v>
      </c>
      <c r="F75" s="15" t="s">
        <v>52</v>
      </c>
      <c r="G75" s="15" t="s">
        <v>52</v>
      </c>
    </row>
    <row r="76" spans="1:7" ht="17" x14ac:dyDescent="0.2">
      <c r="A76" s="5" t="s">
        <v>643</v>
      </c>
      <c r="B76" s="15" t="s">
        <v>52</v>
      </c>
      <c r="C76" s="15" t="s">
        <v>52</v>
      </c>
      <c r="D76" s="15" t="s">
        <v>52</v>
      </c>
      <c r="E76" s="15">
        <v>2</v>
      </c>
      <c r="F76" s="15" t="s">
        <v>52</v>
      </c>
      <c r="G76" s="15" t="s">
        <v>52</v>
      </c>
    </row>
    <row r="77" spans="1:7" ht="17" x14ac:dyDescent="0.2">
      <c r="A77" s="14" t="s">
        <v>669</v>
      </c>
      <c r="B77" s="17">
        <v>-890</v>
      </c>
      <c r="C77" s="17">
        <v>-1570</v>
      </c>
      <c r="D77" s="17">
        <v>-1855</v>
      </c>
      <c r="E77" s="17">
        <v>-1292</v>
      </c>
      <c r="F77" s="17" t="s">
        <v>52</v>
      </c>
      <c r="G77" s="17" t="s">
        <v>52</v>
      </c>
    </row>
    <row r="78" spans="1:7" x14ac:dyDescent="0.2">
      <c r="A78" s="5"/>
      <c r="B78" s="5"/>
      <c r="C78" s="5"/>
      <c r="D78" s="5"/>
      <c r="E78" s="5"/>
      <c r="F78" s="5"/>
      <c r="G78" s="5"/>
    </row>
    <row r="79" spans="1:7" x14ac:dyDescent="0.2">
      <c r="A79" s="5"/>
      <c r="B79" s="5" t="s">
        <v>37</v>
      </c>
      <c r="C79" s="5" t="s">
        <v>37</v>
      </c>
      <c r="D79" s="5" t="s">
        <v>37</v>
      </c>
      <c r="E79" s="5" t="s">
        <v>37</v>
      </c>
      <c r="F79" s="5" t="s">
        <v>37</v>
      </c>
      <c r="G79" s="5" t="s">
        <v>37</v>
      </c>
    </row>
    <row r="80" spans="1:7" x14ac:dyDescent="0.2">
      <c r="A80" s="5" t="s">
        <v>162</v>
      </c>
      <c r="B80" s="22">
        <v>44300</v>
      </c>
      <c r="C80" s="22">
        <v>44678</v>
      </c>
      <c r="D80" s="22">
        <v>45058</v>
      </c>
      <c r="E80" s="22">
        <v>45422</v>
      </c>
      <c r="F80" s="22">
        <v>45779</v>
      </c>
      <c r="G80" s="22">
        <v>45779</v>
      </c>
    </row>
    <row r="81" spans="1:234" x14ac:dyDescent="0.2">
      <c r="A81" s="25"/>
      <c r="B81" s="25"/>
      <c r="C81" s="25"/>
      <c r="D81" s="25"/>
      <c r="E81" s="25"/>
      <c r="F81" s="25"/>
      <c r="G81" s="25"/>
    </row>
    <row r="83" spans="1:234" x14ac:dyDescent="0.2">
      <c r="A83" s="8" t="s">
        <v>670</v>
      </c>
      <c r="B83" s="8"/>
      <c r="C83" s="8"/>
      <c r="D83" s="8"/>
      <c r="E83" s="8"/>
      <c r="F83" s="8"/>
      <c r="G83" s="8"/>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C83" s="9"/>
      <c r="BD83" s="9"/>
      <c r="BE83" s="9"/>
      <c r="BF83" s="9"/>
      <c r="BG83" s="9"/>
      <c r="BH83" s="9"/>
      <c r="BI83" s="9"/>
      <c r="BJ83" s="9"/>
      <c r="BK83" s="9"/>
      <c r="BL83" s="9"/>
      <c r="BM83" s="9"/>
      <c r="BN83" s="9"/>
      <c r="BO83" s="9"/>
      <c r="BP83" s="9"/>
      <c r="BQ83" s="9"/>
      <c r="BR83" s="9"/>
      <c r="BS83" s="9"/>
      <c r="BT83" s="9"/>
      <c r="BU83" s="9"/>
      <c r="BV83" s="9"/>
      <c r="BW83" s="9"/>
      <c r="BX83" s="9"/>
      <c r="BY83" s="9"/>
      <c r="BZ83" s="9"/>
      <c r="CA83" s="9"/>
      <c r="CB83" s="9"/>
      <c r="CC83" s="9"/>
      <c r="CD83" s="9"/>
      <c r="CE83" s="9"/>
      <c r="CF83" s="9"/>
      <c r="CG83" s="9"/>
      <c r="CH83" s="9"/>
      <c r="CI83" s="9"/>
      <c r="CJ83" s="9"/>
      <c r="CK83" s="9"/>
      <c r="CL83" s="9"/>
      <c r="CM83" s="9"/>
      <c r="CN83" s="9"/>
      <c r="CO83" s="9"/>
      <c r="CP83" s="9"/>
      <c r="CQ83" s="9"/>
      <c r="CR83" s="9"/>
      <c r="CS83" s="9"/>
      <c r="CT83" s="9"/>
      <c r="CU83" s="9"/>
      <c r="CV83" s="9"/>
      <c r="CW83" s="9"/>
      <c r="CX83" s="9"/>
      <c r="CY83" s="9"/>
      <c r="CZ83" s="9"/>
      <c r="DA83" s="9"/>
      <c r="DB83" s="9"/>
      <c r="DC83" s="9"/>
      <c r="DD83" s="9"/>
      <c r="DE83" s="9"/>
      <c r="DF83" s="9"/>
      <c r="DG83" s="9"/>
      <c r="DH83" s="9"/>
      <c r="DI83" s="9"/>
      <c r="DJ83" s="9"/>
      <c r="DK83" s="9"/>
      <c r="DL83" s="9"/>
      <c r="DM83" s="9"/>
      <c r="DN83" s="9"/>
      <c r="DO83" s="9"/>
      <c r="DP83" s="9"/>
      <c r="DQ83" s="9"/>
      <c r="DR83" s="9"/>
      <c r="DS83" s="9"/>
      <c r="DT83" s="9"/>
      <c r="DU83" s="9"/>
      <c r="DV83" s="9"/>
      <c r="DW83" s="9"/>
      <c r="DX83" s="9"/>
      <c r="DY83" s="9"/>
      <c r="DZ83" s="9"/>
      <c r="EA83" s="9"/>
      <c r="EB83" s="9"/>
      <c r="EC83" s="9"/>
      <c r="ED83" s="9"/>
      <c r="EE83" s="9"/>
      <c r="EF83" s="9"/>
      <c r="EG83" s="9"/>
      <c r="EH83" s="9"/>
      <c r="EI83" s="9"/>
      <c r="EJ83" s="9"/>
      <c r="EK83" s="9"/>
      <c r="EL83" s="9"/>
      <c r="EM83" s="9"/>
      <c r="EN83" s="9"/>
      <c r="EO83" s="9"/>
      <c r="EP83" s="9"/>
      <c r="EQ83" s="9"/>
      <c r="ER83" s="9"/>
      <c r="ES83" s="9"/>
      <c r="ET83" s="9"/>
      <c r="EU83" s="9"/>
      <c r="EV83" s="9"/>
      <c r="EW83" s="9"/>
      <c r="EX83" s="9"/>
      <c r="EY83" s="9"/>
      <c r="EZ83" s="9"/>
      <c r="FA83" s="9"/>
      <c r="FB83" s="9"/>
      <c r="FC83" s="9"/>
      <c r="FD83" s="9"/>
      <c r="FE83" s="9"/>
      <c r="FF83" s="9"/>
      <c r="FG83" s="9"/>
      <c r="FH83" s="9"/>
      <c r="FI83" s="9"/>
      <c r="FJ83" s="9"/>
      <c r="FK83" s="9"/>
      <c r="FL83" s="9"/>
      <c r="FM83" s="9"/>
      <c r="FN83" s="9"/>
      <c r="FO83" s="9"/>
      <c r="FP83" s="9"/>
      <c r="FQ83" s="9"/>
      <c r="FR83" s="9"/>
      <c r="FS83" s="9"/>
      <c r="FT83" s="9"/>
      <c r="FU83" s="9"/>
      <c r="FV83" s="9"/>
      <c r="FW83" s="9"/>
      <c r="FX83" s="9"/>
      <c r="FY83" s="9"/>
      <c r="FZ83" s="9"/>
      <c r="GA83" s="9"/>
      <c r="GB83" s="9"/>
      <c r="GC83" s="9"/>
      <c r="GD83" s="9"/>
      <c r="GE83" s="9"/>
      <c r="GF83" s="9"/>
      <c r="GG83" s="9"/>
      <c r="GH83" s="9"/>
      <c r="GI83" s="9"/>
      <c r="GJ83" s="9"/>
      <c r="GK83" s="9"/>
      <c r="GL83" s="9"/>
      <c r="GM83" s="9"/>
      <c r="GN83" s="9"/>
      <c r="GO83" s="9"/>
      <c r="GP83" s="9"/>
      <c r="GQ83" s="9"/>
      <c r="GR83" s="9"/>
      <c r="GS83" s="9"/>
      <c r="GT83" s="9"/>
      <c r="GU83" s="9"/>
      <c r="GV83" s="9"/>
      <c r="GW83" s="9"/>
      <c r="GX83" s="9"/>
      <c r="GY83" s="9"/>
      <c r="GZ83" s="9"/>
      <c r="HA83" s="9"/>
      <c r="HB83" s="9"/>
      <c r="HC83" s="9"/>
      <c r="HD83" s="9"/>
      <c r="HE83" s="9"/>
      <c r="HF83" s="9"/>
      <c r="HG83" s="9"/>
      <c r="HH83" s="9"/>
      <c r="HI83" s="9"/>
      <c r="HJ83" s="9"/>
      <c r="HK83" s="9"/>
      <c r="HL83" s="9"/>
      <c r="HM83" s="9"/>
      <c r="HN83" s="9"/>
      <c r="HO83" s="9"/>
      <c r="HP83" s="9"/>
      <c r="HQ83" s="9"/>
      <c r="HR83" s="9"/>
      <c r="HS83" s="9"/>
      <c r="HT83" s="9"/>
      <c r="HU83" s="9"/>
      <c r="HV83" s="9"/>
      <c r="HW83" s="9"/>
      <c r="HX83" s="9"/>
      <c r="HY83" s="9"/>
      <c r="HZ83" s="9"/>
    </row>
    <row r="84" spans="1:234" ht="51" x14ac:dyDescent="0.2">
      <c r="A84" s="39" t="s">
        <v>16</v>
      </c>
      <c r="B84" s="40" t="s">
        <v>86</v>
      </c>
      <c r="C84" s="40" t="s">
        <v>87</v>
      </c>
      <c r="D84" s="40" t="s">
        <v>88</v>
      </c>
      <c r="E84" s="40" t="s">
        <v>89</v>
      </c>
      <c r="F84" s="40" t="s">
        <v>90</v>
      </c>
      <c r="G84" s="40" t="s">
        <v>91</v>
      </c>
    </row>
    <row r="85" spans="1:234" ht="17" x14ac:dyDescent="0.2">
      <c r="A85" s="36" t="s">
        <v>23</v>
      </c>
      <c r="B85" s="37" t="s">
        <v>24</v>
      </c>
      <c r="C85" s="37" t="s">
        <v>24</v>
      </c>
      <c r="D85" s="37" t="s">
        <v>24</v>
      </c>
      <c r="E85" s="37" t="s">
        <v>24</v>
      </c>
      <c r="F85" s="37" t="s">
        <v>24</v>
      </c>
      <c r="G85" s="37" t="s">
        <v>24</v>
      </c>
    </row>
    <row r="86" spans="1:234" x14ac:dyDescent="0.2">
      <c r="A86" s="14" t="s">
        <v>640</v>
      </c>
      <c r="B86" s="5"/>
      <c r="C86" s="5"/>
      <c r="D86" s="5"/>
      <c r="E86" s="5"/>
      <c r="F86" s="5"/>
      <c r="G86" s="5"/>
    </row>
    <row r="87" spans="1:234" x14ac:dyDescent="0.2">
      <c r="A87" s="5" t="s">
        <v>671</v>
      </c>
      <c r="B87" s="15">
        <v>52898</v>
      </c>
      <c r="C87" s="15">
        <v>53170</v>
      </c>
      <c r="D87" s="15">
        <v>56404</v>
      </c>
      <c r="E87" s="15">
        <v>60246</v>
      </c>
      <c r="F87" s="15">
        <v>63691</v>
      </c>
      <c r="G87" s="15">
        <v>65583</v>
      </c>
    </row>
    <row r="88" spans="1:234" ht="17" x14ac:dyDescent="0.2">
      <c r="A88" s="5" t="s">
        <v>672</v>
      </c>
      <c r="B88" s="15" t="s">
        <v>52</v>
      </c>
      <c r="C88" s="15" t="s">
        <v>52</v>
      </c>
      <c r="D88" s="15" t="s">
        <v>52</v>
      </c>
      <c r="E88" s="15" t="s">
        <v>52</v>
      </c>
      <c r="F88" s="15">
        <v>1512</v>
      </c>
      <c r="G88" s="15">
        <v>1445</v>
      </c>
    </row>
    <row r="89" spans="1:234" ht="17" x14ac:dyDescent="0.2">
      <c r="A89" s="5" t="s">
        <v>673</v>
      </c>
      <c r="B89" s="15" t="s">
        <v>52</v>
      </c>
      <c r="C89" s="15" t="s">
        <v>52</v>
      </c>
      <c r="D89" s="15" t="s">
        <v>52</v>
      </c>
      <c r="E89" s="15" t="s">
        <v>52</v>
      </c>
      <c r="F89" s="15">
        <v>1554</v>
      </c>
      <c r="G89" s="15">
        <v>1471</v>
      </c>
    </row>
    <row r="90" spans="1:234" ht="17" x14ac:dyDescent="0.2">
      <c r="A90" s="5" t="s">
        <v>674</v>
      </c>
      <c r="B90" s="15" t="s">
        <v>52</v>
      </c>
      <c r="C90" s="15" t="s">
        <v>52</v>
      </c>
      <c r="D90" s="15" t="s">
        <v>52</v>
      </c>
      <c r="E90" s="15" t="s">
        <v>52</v>
      </c>
      <c r="F90" s="15">
        <v>1430</v>
      </c>
      <c r="G90" s="15">
        <v>1417</v>
      </c>
    </row>
    <row r="91" spans="1:234" ht="17" x14ac:dyDescent="0.2">
      <c r="A91" s="5" t="s">
        <v>675</v>
      </c>
      <c r="B91" s="15">
        <v>4125</v>
      </c>
      <c r="C91" s="15">
        <v>3982</v>
      </c>
      <c r="D91" s="15">
        <v>4018</v>
      </c>
      <c r="E91" s="15">
        <v>4410</v>
      </c>
      <c r="F91" s="15" t="s">
        <v>52</v>
      </c>
      <c r="G91" s="15" t="s">
        <v>52</v>
      </c>
    </row>
    <row r="92" spans="1:234" ht="17" x14ac:dyDescent="0.2">
      <c r="A92" s="5" t="s">
        <v>662</v>
      </c>
      <c r="B92" s="15" t="s">
        <v>52</v>
      </c>
      <c r="C92" s="15" t="s">
        <v>52</v>
      </c>
      <c r="D92" s="15" t="s">
        <v>52</v>
      </c>
      <c r="E92" s="15">
        <v>-568</v>
      </c>
      <c r="F92" s="15" t="s">
        <v>52</v>
      </c>
      <c r="G92" s="15" t="s">
        <v>52</v>
      </c>
    </row>
    <row r="93" spans="1:234" ht="17" x14ac:dyDescent="0.2">
      <c r="A93" s="5" t="s">
        <v>676</v>
      </c>
      <c r="B93" s="15" t="s">
        <v>52</v>
      </c>
      <c r="C93" s="15" t="s">
        <v>52</v>
      </c>
      <c r="D93" s="15">
        <v>922</v>
      </c>
      <c r="E93" s="15">
        <v>1234</v>
      </c>
      <c r="F93" s="15" t="s">
        <v>52</v>
      </c>
      <c r="G93" s="15" t="s">
        <v>52</v>
      </c>
    </row>
    <row r="94" spans="1:234" ht="17" x14ac:dyDescent="0.2">
      <c r="A94" s="5" t="s">
        <v>677</v>
      </c>
      <c r="B94" s="15">
        <v>1068</v>
      </c>
      <c r="C94" s="15">
        <v>735</v>
      </c>
      <c r="D94" s="15" t="s">
        <v>52</v>
      </c>
      <c r="E94" s="15" t="s">
        <v>52</v>
      </c>
      <c r="F94" s="15" t="s">
        <v>52</v>
      </c>
      <c r="G94" s="15" t="s">
        <v>52</v>
      </c>
    </row>
    <row r="95" spans="1:234" ht="17" x14ac:dyDescent="0.2">
      <c r="A95" s="5" t="s">
        <v>678</v>
      </c>
      <c r="B95" s="15" t="s">
        <v>52</v>
      </c>
      <c r="C95" s="15" t="s">
        <v>52</v>
      </c>
      <c r="D95" s="15" t="s">
        <v>52</v>
      </c>
      <c r="E95" s="15" t="s">
        <v>52</v>
      </c>
      <c r="F95" s="15" t="s">
        <v>52</v>
      </c>
      <c r="G95" s="15" t="s">
        <v>52</v>
      </c>
    </row>
    <row r="96" spans="1:234" ht="17" x14ac:dyDescent="0.2">
      <c r="A96" s="5" t="s">
        <v>679</v>
      </c>
      <c r="B96" s="15" t="s">
        <v>52</v>
      </c>
      <c r="C96" s="15" t="s">
        <v>52</v>
      </c>
      <c r="D96" s="15" t="s">
        <v>52</v>
      </c>
      <c r="E96" s="15" t="s">
        <v>52</v>
      </c>
      <c r="F96" s="15" t="s">
        <v>52</v>
      </c>
      <c r="G96" s="15" t="s">
        <v>52</v>
      </c>
    </row>
    <row r="97" spans="1:7" ht="17" x14ac:dyDescent="0.2">
      <c r="A97" s="5" t="s">
        <v>680</v>
      </c>
      <c r="B97" s="15" t="s">
        <v>52</v>
      </c>
      <c r="C97" s="15" t="s">
        <v>52</v>
      </c>
      <c r="D97" s="15" t="s">
        <v>52</v>
      </c>
      <c r="E97" s="15" t="s">
        <v>52</v>
      </c>
      <c r="F97" s="15" t="s">
        <v>52</v>
      </c>
      <c r="G97" s="15" t="s">
        <v>52</v>
      </c>
    </row>
    <row r="98" spans="1:7" ht="17" x14ac:dyDescent="0.2">
      <c r="A98" s="5" t="s">
        <v>681</v>
      </c>
      <c r="B98" s="15" t="s">
        <v>52</v>
      </c>
      <c r="C98" s="15" t="s">
        <v>52</v>
      </c>
      <c r="D98" s="15" t="s">
        <v>52</v>
      </c>
      <c r="E98" s="15" t="s">
        <v>52</v>
      </c>
      <c r="F98" s="15" t="s">
        <v>52</v>
      </c>
      <c r="G98" s="15" t="s">
        <v>52</v>
      </c>
    </row>
    <row r="99" spans="1:7" x14ac:dyDescent="0.2">
      <c r="A99" s="14" t="s">
        <v>648</v>
      </c>
      <c r="B99" s="17">
        <v>58091</v>
      </c>
      <c r="C99" s="17">
        <v>57887</v>
      </c>
      <c r="D99" s="17">
        <v>61344</v>
      </c>
      <c r="E99" s="17">
        <v>65322</v>
      </c>
      <c r="F99" s="17">
        <v>68187</v>
      </c>
      <c r="G99" s="17">
        <v>69916</v>
      </c>
    </row>
    <row r="100" spans="1:7" x14ac:dyDescent="0.2">
      <c r="A100" s="5"/>
      <c r="B100" s="5"/>
      <c r="C100" s="5"/>
      <c r="D100" s="5"/>
      <c r="E100" s="5"/>
      <c r="F100" s="5"/>
      <c r="G100" s="5"/>
    </row>
    <row r="101" spans="1:7" x14ac:dyDescent="0.2">
      <c r="A101" s="14" t="s">
        <v>651</v>
      </c>
      <c r="B101" s="5"/>
      <c r="C101" s="5"/>
      <c r="D101" s="5"/>
      <c r="E101" s="5"/>
      <c r="F101" s="5"/>
      <c r="G101" s="5"/>
    </row>
    <row r="102" spans="1:7" x14ac:dyDescent="0.2">
      <c r="A102" s="5" t="s">
        <v>671</v>
      </c>
      <c r="B102" s="15">
        <v>2202</v>
      </c>
      <c r="C102" s="15">
        <v>1839</v>
      </c>
      <c r="D102" s="15">
        <v>2481</v>
      </c>
      <c r="E102" s="15">
        <v>2307</v>
      </c>
      <c r="F102" s="15">
        <v>2739</v>
      </c>
      <c r="G102" s="15">
        <v>3016</v>
      </c>
    </row>
    <row r="103" spans="1:7" x14ac:dyDescent="0.2">
      <c r="A103" s="5" t="s">
        <v>675</v>
      </c>
      <c r="B103" s="15">
        <v>176</v>
      </c>
      <c r="C103" s="15">
        <v>124</v>
      </c>
      <c r="D103" s="15">
        <v>168</v>
      </c>
      <c r="E103" s="15">
        <v>180</v>
      </c>
      <c r="F103" s="15">
        <v>90</v>
      </c>
      <c r="G103" s="15">
        <v>112</v>
      </c>
    </row>
    <row r="104" spans="1:7" ht="17" x14ac:dyDescent="0.2">
      <c r="A104" s="5" t="s">
        <v>662</v>
      </c>
      <c r="B104" s="15" t="s">
        <v>52</v>
      </c>
      <c r="C104" s="15" t="s">
        <v>52</v>
      </c>
      <c r="D104" s="15" t="s">
        <v>52</v>
      </c>
      <c r="E104" s="15">
        <v>-113</v>
      </c>
      <c r="F104" s="15" t="s">
        <v>52</v>
      </c>
      <c r="G104" s="15" t="s">
        <v>52</v>
      </c>
    </row>
    <row r="105" spans="1:7" ht="17" x14ac:dyDescent="0.2">
      <c r="A105" s="5" t="s">
        <v>676</v>
      </c>
      <c r="B105" s="15" t="s">
        <v>52</v>
      </c>
      <c r="C105" s="15" t="s">
        <v>52</v>
      </c>
      <c r="D105" s="15">
        <v>176</v>
      </c>
      <c r="E105" s="15">
        <v>135</v>
      </c>
      <c r="F105" s="15" t="s">
        <v>52</v>
      </c>
      <c r="G105" s="15" t="s">
        <v>52</v>
      </c>
    </row>
    <row r="106" spans="1:7" ht="17" x14ac:dyDescent="0.2">
      <c r="A106" s="5" t="s">
        <v>677</v>
      </c>
      <c r="B106" s="15">
        <v>193</v>
      </c>
      <c r="C106" s="15">
        <v>-175</v>
      </c>
      <c r="D106" s="15" t="s">
        <v>52</v>
      </c>
      <c r="E106" s="15" t="s">
        <v>52</v>
      </c>
      <c r="F106" s="15" t="s">
        <v>52</v>
      </c>
      <c r="G106" s="15" t="s">
        <v>52</v>
      </c>
    </row>
    <row r="107" spans="1:7" ht="17" x14ac:dyDescent="0.2">
      <c r="A107" s="5" t="s">
        <v>678</v>
      </c>
      <c r="B107" s="15" t="s">
        <v>52</v>
      </c>
      <c r="C107" s="15" t="s">
        <v>52</v>
      </c>
      <c r="D107" s="15" t="s">
        <v>52</v>
      </c>
      <c r="E107" s="15" t="s">
        <v>52</v>
      </c>
      <c r="F107" s="15" t="s">
        <v>52</v>
      </c>
      <c r="G107" s="15" t="s">
        <v>52</v>
      </c>
    </row>
    <row r="108" spans="1:7" ht="17" x14ac:dyDescent="0.2">
      <c r="A108" s="5" t="s">
        <v>679</v>
      </c>
      <c r="B108" s="15" t="s">
        <v>52</v>
      </c>
      <c r="C108" s="15" t="s">
        <v>52</v>
      </c>
      <c r="D108" s="15" t="s">
        <v>52</v>
      </c>
      <c r="E108" s="15" t="s">
        <v>52</v>
      </c>
      <c r="F108" s="15" t="s">
        <v>52</v>
      </c>
      <c r="G108" s="15" t="s">
        <v>52</v>
      </c>
    </row>
    <row r="109" spans="1:7" ht="17" x14ac:dyDescent="0.2">
      <c r="A109" s="5" t="s">
        <v>680</v>
      </c>
      <c r="B109" s="15" t="s">
        <v>52</v>
      </c>
      <c r="C109" s="15" t="s">
        <v>52</v>
      </c>
      <c r="D109" s="15" t="s">
        <v>52</v>
      </c>
      <c r="E109" s="15" t="s">
        <v>52</v>
      </c>
      <c r="F109" s="15" t="s">
        <v>52</v>
      </c>
      <c r="G109" s="15" t="s">
        <v>52</v>
      </c>
    </row>
    <row r="110" spans="1:7" ht="17" x14ac:dyDescent="0.2">
      <c r="A110" s="5" t="s">
        <v>682</v>
      </c>
      <c r="B110" s="15" t="s">
        <v>52</v>
      </c>
      <c r="C110" s="15" t="s">
        <v>52</v>
      </c>
      <c r="D110" s="15" t="s">
        <v>52</v>
      </c>
      <c r="E110" s="15" t="s">
        <v>52</v>
      </c>
      <c r="F110" s="15" t="s">
        <v>52</v>
      </c>
      <c r="G110" s="15" t="s">
        <v>52</v>
      </c>
    </row>
    <row r="111" spans="1:7" ht="17" x14ac:dyDescent="0.2">
      <c r="A111" s="5" t="s">
        <v>681</v>
      </c>
      <c r="B111" s="15" t="s">
        <v>52</v>
      </c>
      <c r="C111" s="15" t="s">
        <v>52</v>
      </c>
      <c r="D111" s="15" t="s">
        <v>52</v>
      </c>
      <c r="E111" s="15" t="s">
        <v>52</v>
      </c>
      <c r="F111" s="15" t="s">
        <v>52</v>
      </c>
      <c r="G111" s="15" t="s">
        <v>52</v>
      </c>
    </row>
    <row r="112" spans="1:7" x14ac:dyDescent="0.2">
      <c r="A112" s="14" t="s">
        <v>653</v>
      </c>
      <c r="B112" s="17">
        <v>2571</v>
      </c>
      <c r="C112" s="17">
        <v>1788</v>
      </c>
      <c r="D112" s="17">
        <v>2825</v>
      </c>
      <c r="E112" s="17">
        <v>2509</v>
      </c>
      <c r="F112" s="17">
        <v>2829</v>
      </c>
      <c r="G112" s="17">
        <v>3128</v>
      </c>
    </row>
    <row r="113" spans="1:7" x14ac:dyDescent="0.2">
      <c r="A113" s="5"/>
      <c r="B113" s="5"/>
      <c r="C113" s="5"/>
      <c r="D113" s="5"/>
      <c r="E113" s="5"/>
      <c r="F113" s="5"/>
      <c r="G113" s="5"/>
    </row>
    <row r="114" spans="1:7" x14ac:dyDescent="0.2">
      <c r="A114" s="14" t="s">
        <v>661</v>
      </c>
      <c r="B114" s="5"/>
      <c r="C114" s="5"/>
      <c r="D114" s="5"/>
      <c r="E114" s="5"/>
      <c r="F114" s="5"/>
      <c r="G114" s="5"/>
    </row>
    <row r="115" spans="1:7" ht="17" x14ac:dyDescent="0.2">
      <c r="A115" s="5" t="s">
        <v>671</v>
      </c>
      <c r="B115" s="15">
        <v>28386</v>
      </c>
      <c r="C115" s="15">
        <v>28839</v>
      </c>
      <c r="D115" s="15">
        <v>31948</v>
      </c>
      <c r="E115" s="15">
        <v>25143</v>
      </c>
      <c r="F115" s="15">
        <v>25481</v>
      </c>
      <c r="G115" s="15" t="s">
        <v>52</v>
      </c>
    </row>
    <row r="116" spans="1:7" ht="17" x14ac:dyDescent="0.2">
      <c r="A116" s="5" t="s">
        <v>675</v>
      </c>
      <c r="B116" s="15">
        <v>2591</v>
      </c>
      <c r="C116" s="15">
        <v>2519</v>
      </c>
      <c r="D116" s="15">
        <v>2462</v>
      </c>
      <c r="E116" s="15">
        <v>2107</v>
      </c>
      <c r="F116" s="15">
        <v>2009</v>
      </c>
      <c r="G116" s="15" t="s">
        <v>52</v>
      </c>
    </row>
    <row r="117" spans="1:7" ht="17" x14ac:dyDescent="0.2">
      <c r="A117" s="5" t="s">
        <v>662</v>
      </c>
      <c r="B117" s="15">
        <v>4643</v>
      </c>
      <c r="C117" s="15">
        <v>552</v>
      </c>
      <c r="D117" s="15">
        <v>38</v>
      </c>
      <c r="E117" s="15" t="s">
        <v>52</v>
      </c>
      <c r="F117" s="15" t="s">
        <v>52</v>
      </c>
      <c r="G117" s="15" t="s">
        <v>52</v>
      </c>
    </row>
    <row r="118" spans="1:7" ht="17" x14ac:dyDescent="0.2">
      <c r="A118" s="5" t="s">
        <v>676</v>
      </c>
      <c r="B118" s="15" t="s">
        <v>52</v>
      </c>
      <c r="C118" s="15" t="s">
        <v>52</v>
      </c>
      <c r="D118" s="15">
        <v>9272</v>
      </c>
      <c r="E118" s="15">
        <v>705</v>
      </c>
      <c r="F118" s="15">
        <v>1142</v>
      </c>
      <c r="G118" s="15" t="s">
        <v>52</v>
      </c>
    </row>
    <row r="119" spans="1:7" ht="17" x14ac:dyDescent="0.2">
      <c r="A119" s="5" t="s">
        <v>666</v>
      </c>
      <c r="B119" s="15">
        <v>1210</v>
      </c>
      <c r="C119" s="15" t="s">
        <v>52</v>
      </c>
      <c r="D119" s="15" t="s">
        <v>52</v>
      </c>
      <c r="E119" s="15">
        <v>16</v>
      </c>
      <c r="F119" s="15" t="s">
        <v>52</v>
      </c>
      <c r="G119" s="15" t="s">
        <v>52</v>
      </c>
    </row>
    <row r="120" spans="1:7" ht="17" x14ac:dyDescent="0.2">
      <c r="A120" s="5" t="s">
        <v>677</v>
      </c>
      <c r="B120" s="15">
        <v>11019</v>
      </c>
      <c r="C120" s="15">
        <v>8456</v>
      </c>
      <c r="D120" s="15" t="s">
        <v>52</v>
      </c>
      <c r="E120" s="15" t="s">
        <v>52</v>
      </c>
      <c r="F120" s="15" t="s">
        <v>52</v>
      </c>
      <c r="G120" s="15" t="s">
        <v>52</v>
      </c>
    </row>
    <row r="121" spans="1:7" ht="17" x14ac:dyDescent="0.2">
      <c r="A121" s="5" t="s">
        <v>678</v>
      </c>
      <c r="B121" s="15" t="s">
        <v>52</v>
      </c>
      <c r="C121" s="15" t="s">
        <v>52</v>
      </c>
      <c r="D121" s="15" t="s">
        <v>52</v>
      </c>
      <c r="E121" s="15" t="s">
        <v>52</v>
      </c>
      <c r="F121" s="15" t="s">
        <v>52</v>
      </c>
      <c r="G121" s="15" t="s">
        <v>52</v>
      </c>
    </row>
    <row r="122" spans="1:7" ht="17" x14ac:dyDescent="0.2">
      <c r="A122" s="5" t="s">
        <v>663</v>
      </c>
      <c r="B122" s="15" t="s">
        <v>52</v>
      </c>
      <c r="C122" s="15" t="s">
        <v>52</v>
      </c>
      <c r="D122" s="15" t="s">
        <v>52</v>
      </c>
      <c r="E122" s="15" t="s">
        <v>52</v>
      </c>
      <c r="F122" s="15" t="s">
        <v>52</v>
      </c>
      <c r="G122" s="15" t="s">
        <v>52</v>
      </c>
    </row>
    <row r="123" spans="1:7" ht="17" x14ac:dyDescent="0.2">
      <c r="A123" s="5" t="s">
        <v>664</v>
      </c>
      <c r="B123" s="15" t="s">
        <v>52</v>
      </c>
      <c r="C123" s="15" t="s">
        <v>52</v>
      </c>
      <c r="D123" s="15" t="s">
        <v>52</v>
      </c>
      <c r="E123" s="15" t="s">
        <v>52</v>
      </c>
      <c r="F123" s="15" t="s">
        <v>52</v>
      </c>
      <c r="G123" s="15" t="s">
        <v>52</v>
      </c>
    </row>
    <row r="124" spans="1:7" ht="17" x14ac:dyDescent="0.2">
      <c r="A124" s="5" t="s">
        <v>665</v>
      </c>
      <c r="B124" s="15" t="s">
        <v>52</v>
      </c>
      <c r="C124" s="15" t="s">
        <v>52</v>
      </c>
      <c r="D124" s="15" t="s">
        <v>52</v>
      </c>
      <c r="E124" s="15" t="s">
        <v>52</v>
      </c>
      <c r="F124" s="15" t="s">
        <v>52</v>
      </c>
      <c r="G124" s="15" t="s">
        <v>52</v>
      </c>
    </row>
    <row r="125" spans="1:7" ht="17" x14ac:dyDescent="0.2">
      <c r="A125" s="5" t="s">
        <v>679</v>
      </c>
      <c r="B125" s="15" t="s">
        <v>52</v>
      </c>
      <c r="C125" s="15" t="s">
        <v>52</v>
      </c>
      <c r="D125" s="15" t="s">
        <v>52</v>
      </c>
      <c r="E125" s="15" t="s">
        <v>52</v>
      </c>
      <c r="F125" s="15" t="s">
        <v>52</v>
      </c>
      <c r="G125" s="15" t="s">
        <v>52</v>
      </c>
    </row>
    <row r="126" spans="1:7" ht="17" x14ac:dyDescent="0.2">
      <c r="A126" s="5" t="s">
        <v>652</v>
      </c>
      <c r="B126" s="15" t="s">
        <v>52</v>
      </c>
      <c r="C126" s="15" t="s">
        <v>52</v>
      </c>
      <c r="D126" s="15" t="s">
        <v>52</v>
      </c>
      <c r="E126" s="15" t="s">
        <v>52</v>
      </c>
      <c r="F126" s="15" t="s">
        <v>52</v>
      </c>
      <c r="G126" s="15" t="s">
        <v>52</v>
      </c>
    </row>
    <row r="127" spans="1:7" ht="17" x14ac:dyDescent="0.2">
      <c r="A127" s="5" t="s">
        <v>680</v>
      </c>
      <c r="B127" s="15" t="s">
        <v>52</v>
      </c>
      <c r="C127" s="15" t="s">
        <v>52</v>
      </c>
      <c r="D127" s="15" t="s">
        <v>52</v>
      </c>
      <c r="E127" s="15" t="s">
        <v>52</v>
      </c>
      <c r="F127" s="15" t="s">
        <v>52</v>
      </c>
      <c r="G127" s="15" t="s">
        <v>52</v>
      </c>
    </row>
    <row r="128" spans="1:7" ht="17" x14ac:dyDescent="0.2">
      <c r="A128" s="5" t="s">
        <v>682</v>
      </c>
      <c r="B128" s="15" t="s">
        <v>52</v>
      </c>
      <c r="C128" s="15" t="s">
        <v>52</v>
      </c>
      <c r="D128" s="15" t="s">
        <v>52</v>
      </c>
      <c r="E128" s="15" t="s">
        <v>52</v>
      </c>
      <c r="F128" s="15" t="s">
        <v>52</v>
      </c>
      <c r="G128" s="15" t="s">
        <v>52</v>
      </c>
    </row>
    <row r="129" spans="1:7" ht="17" x14ac:dyDescent="0.2">
      <c r="A129" s="5" t="s">
        <v>681</v>
      </c>
      <c r="B129" s="15" t="s">
        <v>52</v>
      </c>
      <c r="C129" s="15" t="s">
        <v>52</v>
      </c>
      <c r="D129" s="15" t="s">
        <v>52</v>
      </c>
      <c r="E129" s="15" t="s">
        <v>52</v>
      </c>
      <c r="F129" s="15" t="s">
        <v>52</v>
      </c>
      <c r="G129" s="15" t="s">
        <v>52</v>
      </c>
    </row>
    <row r="130" spans="1:7" ht="17" x14ac:dyDescent="0.2">
      <c r="A130" s="14" t="s">
        <v>451</v>
      </c>
      <c r="B130" s="17">
        <v>47849</v>
      </c>
      <c r="C130" s="17">
        <v>40366</v>
      </c>
      <c r="D130" s="17">
        <v>43720</v>
      </c>
      <c r="E130" s="17">
        <v>27971</v>
      </c>
      <c r="F130" s="17">
        <v>28632</v>
      </c>
      <c r="G130" s="17" t="s">
        <v>52</v>
      </c>
    </row>
    <row r="131" spans="1:7" x14ac:dyDescent="0.2">
      <c r="A131" s="5"/>
      <c r="B131" s="5"/>
      <c r="C131" s="5"/>
      <c r="D131" s="5"/>
      <c r="E131" s="5"/>
      <c r="F131" s="5"/>
      <c r="G131" s="5"/>
    </row>
    <row r="132" spans="1:7" x14ac:dyDescent="0.2">
      <c r="A132" s="14" t="s">
        <v>667</v>
      </c>
      <c r="B132" s="5"/>
      <c r="C132" s="5"/>
      <c r="D132" s="5"/>
      <c r="E132" s="5"/>
      <c r="F132" s="5"/>
      <c r="G132" s="5"/>
    </row>
    <row r="133" spans="1:7" x14ac:dyDescent="0.2">
      <c r="A133" s="5" t="s">
        <v>671</v>
      </c>
      <c r="B133" s="15">
        <v>1527</v>
      </c>
      <c r="C133" s="15">
        <v>1544</v>
      </c>
      <c r="D133" s="15">
        <v>1517</v>
      </c>
      <c r="E133" s="15">
        <v>1515</v>
      </c>
      <c r="F133" s="15">
        <v>1550</v>
      </c>
      <c r="G133" s="15">
        <v>1627</v>
      </c>
    </row>
    <row r="134" spans="1:7" x14ac:dyDescent="0.2">
      <c r="A134" s="5" t="s">
        <v>675</v>
      </c>
      <c r="B134" s="15">
        <v>141</v>
      </c>
      <c r="C134" s="15">
        <v>143</v>
      </c>
      <c r="D134" s="15">
        <v>136</v>
      </c>
      <c r="E134" s="15">
        <v>131</v>
      </c>
      <c r="F134" s="15">
        <v>144</v>
      </c>
      <c r="G134" s="15">
        <v>147</v>
      </c>
    </row>
    <row r="135" spans="1:7" ht="17" x14ac:dyDescent="0.2">
      <c r="A135" s="5" t="s">
        <v>662</v>
      </c>
      <c r="B135" s="15" t="s">
        <v>52</v>
      </c>
      <c r="C135" s="15" t="s">
        <v>52</v>
      </c>
      <c r="D135" s="15" t="s">
        <v>52</v>
      </c>
      <c r="E135" s="15">
        <v>-34</v>
      </c>
      <c r="F135" s="15" t="s">
        <v>52</v>
      </c>
      <c r="G135" s="15" t="s">
        <v>52</v>
      </c>
    </row>
    <row r="136" spans="1:7" ht="17" x14ac:dyDescent="0.2">
      <c r="A136" s="5" t="s">
        <v>676</v>
      </c>
      <c r="B136" s="15" t="s">
        <v>52</v>
      </c>
      <c r="C136" s="15" t="s">
        <v>52</v>
      </c>
      <c r="D136" s="15">
        <v>65</v>
      </c>
      <c r="E136" s="15">
        <v>54</v>
      </c>
      <c r="F136" s="15" t="s">
        <v>52</v>
      </c>
      <c r="G136" s="15" t="s">
        <v>52</v>
      </c>
    </row>
    <row r="137" spans="1:7" ht="17" x14ac:dyDescent="0.2">
      <c r="A137" s="5" t="s">
        <v>677</v>
      </c>
      <c r="B137" s="15">
        <v>141</v>
      </c>
      <c r="C137" s="15">
        <v>57</v>
      </c>
      <c r="D137" s="15" t="s">
        <v>52</v>
      </c>
      <c r="E137" s="15" t="s">
        <v>52</v>
      </c>
      <c r="F137" s="15" t="s">
        <v>52</v>
      </c>
      <c r="G137" s="15" t="s">
        <v>52</v>
      </c>
    </row>
    <row r="138" spans="1:7" ht="17" x14ac:dyDescent="0.2">
      <c r="A138" s="5" t="s">
        <v>678</v>
      </c>
      <c r="B138" s="15" t="s">
        <v>52</v>
      </c>
      <c r="C138" s="15" t="s">
        <v>52</v>
      </c>
      <c r="D138" s="15" t="s">
        <v>52</v>
      </c>
      <c r="E138" s="15" t="s">
        <v>52</v>
      </c>
      <c r="F138" s="15" t="s">
        <v>52</v>
      </c>
      <c r="G138" s="15" t="s">
        <v>52</v>
      </c>
    </row>
    <row r="139" spans="1:7" ht="17" x14ac:dyDescent="0.2">
      <c r="A139" s="5" t="s">
        <v>679</v>
      </c>
      <c r="B139" s="15" t="s">
        <v>52</v>
      </c>
      <c r="C139" s="15" t="s">
        <v>52</v>
      </c>
      <c r="D139" s="15" t="s">
        <v>52</v>
      </c>
      <c r="E139" s="15" t="s">
        <v>52</v>
      </c>
      <c r="F139" s="15" t="s">
        <v>52</v>
      </c>
      <c r="G139" s="15" t="s">
        <v>52</v>
      </c>
    </row>
    <row r="140" spans="1:7" ht="17" x14ac:dyDescent="0.2">
      <c r="A140" s="5" t="s">
        <v>680</v>
      </c>
      <c r="B140" s="15" t="s">
        <v>52</v>
      </c>
      <c r="C140" s="15" t="s">
        <v>52</v>
      </c>
      <c r="D140" s="15" t="s">
        <v>52</v>
      </c>
      <c r="E140" s="15" t="s">
        <v>52</v>
      </c>
      <c r="F140" s="15" t="s">
        <v>52</v>
      </c>
      <c r="G140" s="15" t="s">
        <v>52</v>
      </c>
    </row>
    <row r="141" spans="1:7" ht="17" x14ac:dyDescent="0.2">
      <c r="A141" s="5" t="s">
        <v>681</v>
      </c>
      <c r="B141" s="15" t="s">
        <v>52</v>
      </c>
      <c r="C141" s="15" t="s">
        <v>52</v>
      </c>
      <c r="D141" s="15" t="s">
        <v>52</v>
      </c>
      <c r="E141" s="15" t="s">
        <v>52</v>
      </c>
      <c r="F141" s="15" t="s">
        <v>52</v>
      </c>
      <c r="G141" s="15" t="s">
        <v>52</v>
      </c>
    </row>
    <row r="142" spans="1:7" x14ac:dyDescent="0.2">
      <c r="A142" s="14" t="s">
        <v>668</v>
      </c>
      <c r="B142" s="17">
        <v>1809</v>
      </c>
      <c r="C142" s="17">
        <v>1744</v>
      </c>
      <c r="D142" s="17">
        <v>1718</v>
      </c>
      <c r="E142" s="17">
        <v>1666</v>
      </c>
      <c r="F142" s="17">
        <v>1694</v>
      </c>
      <c r="G142" s="17">
        <v>1774</v>
      </c>
    </row>
    <row r="143" spans="1:7" x14ac:dyDescent="0.2">
      <c r="A143" s="5"/>
      <c r="B143" s="5"/>
      <c r="C143" s="5"/>
      <c r="D143" s="5"/>
      <c r="E143" s="5"/>
      <c r="F143" s="5"/>
      <c r="G143" s="5"/>
    </row>
    <row r="144" spans="1:7" x14ac:dyDescent="0.2">
      <c r="A144" s="14" t="s">
        <v>293</v>
      </c>
      <c r="B144" s="5"/>
      <c r="C144" s="5"/>
      <c r="D144" s="5"/>
      <c r="E144" s="5"/>
      <c r="F144" s="5"/>
      <c r="G144" s="5"/>
    </row>
    <row r="145" spans="1:28" x14ac:dyDescent="0.2">
      <c r="A145" s="5" t="s">
        <v>671</v>
      </c>
      <c r="B145" s="15">
        <v>-1819</v>
      </c>
      <c r="C145" s="15">
        <v>-1426</v>
      </c>
      <c r="D145" s="15">
        <v>-1671</v>
      </c>
      <c r="E145" s="15">
        <v>-1176</v>
      </c>
      <c r="F145" s="15">
        <v>-1099</v>
      </c>
      <c r="G145" s="15">
        <v>-1264</v>
      </c>
    </row>
    <row r="146" spans="1:28" x14ac:dyDescent="0.2">
      <c r="A146" s="5" t="s">
        <v>675</v>
      </c>
      <c r="B146" s="15">
        <v>-102</v>
      </c>
      <c r="C146" s="15">
        <v>-89</v>
      </c>
      <c r="D146" s="15">
        <v>-99</v>
      </c>
      <c r="E146" s="15">
        <v>-104</v>
      </c>
      <c r="F146" s="15">
        <v>-99</v>
      </c>
      <c r="G146" s="15">
        <v>-98</v>
      </c>
    </row>
    <row r="147" spans="1:28" ht="17" x14ac:dyDescent="0.2">
      <c r="A147" s="5" t="s">
        <v>662</v>
      </c>
      <c r="B147" s="15" t="s">
        <v>52</v>
      </c>
      <c r="C147" s="15" t="s">
        <v>52</v>
      </c>
      <c r="D147" s="15" t="s">
        <v>52</v>
      </c>
      <c r="E147" s="15">
        <v>2</v>
      </c>
      <c r="F147" s="15" t="s">
        <v>52</v>
      </c>
      <c r="G147" s="15" t="s">
        <v>52</v>
      </c>
    </row>
    <row r="148" spans="1:28" ht="17" x14ac:dyDescent="0.2">
      <c r="A148" s="5" t="s">
        <v>676</v>
      </c>
      <c r="B148" s="15" t="s">
        <v>52</v>
      </c>
      <c r="C148" s="15" t="s">
        <v>52</v>
      </c>
      <c r="D148" s="15">
        <v>-85</v>
      </c>
      <c r="E148" s="15">
        <v>-14</v>
      </c>
      <c r="F148" s="15" t="s">
        <v>52</v>
      </c>
      <c r="G148" s="15" t="s">
        <v>52</v>
      </c>
    </row>
    <row r="149" spans="1:28" ht="17" x14ac:dyDescent="0.2">
      <c r="A149" s="5" t="s">
        <v>677</v>
      </c>
      <c r="B149" s="15">
        <v>-51</v>
      </c>
      <c r="C149" s="15">
        <v>-55</v>
      </c>
      <c r="D149" s="15" t="s">
        <v>52</v>
      </c>
      <c r="E149" s="15" t="s">
        <v>52</v>
      </c>
      <c r="F149" s="15" t="s">
        <v>52</v>
      </c>
      <c r="G149" s="15" t="s">
        <v>52</v>
      </c>
    </row>
    <row r="150" spans="1:28" ht="17" x14ac:dyDescent="0.2">
      <c r="A150" s="5" t="s">
        <v>678</v>
      </c>
      <c r="B150" s="15" t="s">
        <v>52</v>
      </c>
      <c r="C150" s="15" t="s">
        <v>52</v>
      </c>
      <c r="D150" s="15" t="s">
        <v>52</v>
      </c>
      <c r="E150" s="15" t="s">
        <v>52</v>
      </c>
      <c r="F150" s="15" t="s">
        <v>52</v>
      </c>
      <c r="G150" s="15" t="s">
        <v>52</v>
      </c>
    </row>
    <row r="151" spans="1:28" ht="17" x14ac:dyDescent="0.2">
      <c r="A151" s="5" t="s">
        <v>679</v>
      </c>
      <c r="B151" s="15" t="s">
        <v>52</v>
      </c>
      <c r="C151" s="15" t="s">
        <v>52</v>
      </c>
      <c r="D151" s="15" t="s">
        <v>52</v>
      </c>
      <c r="E151" s="15" t="s">
        <v>52</v>
      </c>
      <c r="F151" s="15" t="s">
        <v>52</v>
      </c>
      <c r="G151" s="15" t="s">
        <v>52</v>
      </c>
    </row>
    <row r="152" spans="1:28" ht="17" x14ac:dyDescent="0.2">
      <c r="A152" s="5" t="s">
        <v>680</v>
      </c>
      <c r="B152" s="15" t="s">
        <v>52</v>
      </c>
      <c r="C152" s="15" t="s">
        <v>52</v>
      </c>
      <c r="D152" s="15" t="s">
        <v>52</v>
      </c>
      <c r="E152" s="15" t="s">
        <v>52</v>
      </c>
      <c r="F152" s="15" t="s">
        <v>52</v>
      </c>
      <c r="G152" s="15" t="s">
        <v>52</v>
      </c>
    </row>
    <row r="153" spans="1:28" ht="17" x14ac:dyDescent="0.2">
      <c r="A153" s="5" t="s">
        <v>681</v>
      </c>
      <c r="B153" s="15" t="s">
        <v>52</v>
      </c>
      <c r="C153" s="15" t="s">
        <v>52</v>
      </c>
      <c r="D153" s="15" t="s">
        <v>52</v>
      </c>
      <c r="E153" s="15" t="s">
        <v>52</v>
      </c>
      <c r="F153" s="15" t="s">
        <v>52</v>
      </c>
      <c r="G153" s="15" t="s">
        <v>52</v>
      </c>
    </row>
    <row r="154" spans="1:28" x14ac:dyDescent="0.2">
      <c r="A154" s="14" t="s">
        <v>669</v>
      </c>
      <c r="B154" s="17">
        <v>-1972</v>
      </c>
      <c r="C154" s="17">
        <v>-1570</v>
      </c>
      <c r="D154" s="17">
        <v>-1855</v>
      </c>
      <c r="E154" s="17">
        <v>-1292</v>
      </c>
      <c r="F154" s="17">
        <v>-1198</v>
      </c>
      <c r="G154" s="17">
        <v>-1362</v>
      </c>
    </row>
    <row r="155" spans="1:28" x14ac:dyDescent="0.2">
      <c r="A155" s="5"/>
      <c r="B155" s="5"/>
      <c r="C155" s="5"/>
      <c r="D155" s="5"/>
      <c r="E155" s="5"/>
      <c r="F155" s="5"/>
      <c r="G155" s="5"/>
    </row>
    <row r="156" spans="1:28" x14ac:dyDescent="0.2">
      <c r="A156" s="5"/>
      <c r="B156" s="5" t="s">
        <v>37</v>
      </c>
      <c r="C156" s="5" t="s">
        <v>37</v>
      </c>
      <c r="D156" s="5" t="s">
        <v>37</v>
      </c>
      <c r="E156" s="5" t="s">
        <v>37</v>
      </c>
      <c r="F156" s="5" t="s">
        <v>37</v>
      </c>
      <c r="G156" s="5" t="s">
        <v>37</v>
      </c>
    </row>
    <row r="157" spans="1:28" x14ac:dyDescent="0.2">
      <c r="A157" s="5" t="s">
        <v>162</v>
      </c>
      <c r="B157" s="22">
        <v>44300</v>
      </c>
      <c r="C157" s="22">
        <v>44678</v>
      </c>
      <c r="D157" s="22">
        <v>45058</v>
      </c>
      <c r="E157" s="22">
        <v>45422</v>
      </c>
      <c r="F157" s="22">
        <v>45779</v>
      </c>
      <c r="G157" s="22">
        <v>45779</v>
      </c>
    </row>
    <row r="158" spans="1:28" x14ac:dyDescent="0.2">
      <c r="A158" s="25"/>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25"/>
      <c r="AB158" s="25"/>
    </row>
    <row r="159" spans="1:28" x14ac:dyDescent="0.2">
      <c r="A159" s="27" t="s">
        <v>73</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678DF-0343-B04A-93C2-1695C82EE44B}">
  <dimension ref="A5:IT115"/>
  <sheetViews>
    <sheetView topLeftCell="A21" zoomScale="150" zoomScaleNormal="150" workbookViewId="0">
      <selection activeCell="A101" sqref="A101:A103"/>
    </sheetView>
  </sheetViews>
  <sheetFormatPr baseColWidth="10" defaultRowHeight="16" x14ac:dyDescent="0.2"/>
  <cols>
    <col min="1" max="1" width="45.83203125" style="2" customWidth="1"/>
    <col min="2" max="5" width="14.83203125" style="2" customWidth="1"/>
    <col min="6" max="6" width="13.33203125" style="2" bestFit="1" customWidth="1"/>
    <col min="7" max="38" width="14.83203125" style="2" customWidth="1"/>
    <col min="39" max="256" width="8.83203125" style="2" customWidth="1"/>
    <col min="257" max="257" width="45.83203125" style="2" customWidth="1"/>
    <col min="258" max="261" width="14.83203125" style="2" customWidth="1"/>
    <col min="262" max="262" width="12.1640625" style="2" bestFit="1" customWidth="1"/>
    <col min="263" max="294" width="14.83203125" style="2" customWidth="1"/>
    <col min="295" max="512" width="8.83203125" style="2" customWidth="1"/>
    <col min="513" max="513" width="45.83203125" style="2" customWidth="1"/>
    <col min="514" max="517" width="14.83203125" style="2" customWidth="1"/>
    <col min="518" max="518" width="12.1640625" style="2" bestFit="1" customWidth="1"/>
    <col min="519" max="550" width="14.83203125" style="2" customWidth="1"/>
    <col min="551" max="768" width="8.83203125" style="2" customWidth="1"/>
    <col min="769" max="769" width="45.83203125" style="2" customWidth="1"/>
    <col min="770" max="773" width="14.83203125" style="2" customWidth="1"/>
    <col min="774" max="774" width="12.1640625" style="2" bestFit="1" customWidth="1"/>
    <col min="775" max="806" width="14.83203125" style="2" customWidth="1"/>
    <col min="807" max="1024" width="8.83203125" style="2" customWidth="1"/>
    <col min="1025" max="1025" width="45.83203125" style="2" customWidth="1"/>
    <col min="1026" max="1029" width="14.83203125" style="2" customWidth="1"/>
    <col min="1030" max="1030" width="12.1640625" style="2" bestFit="1" customWidth="1"/>
    <col min="1031" max="1062" width="14.83203125" style="2" customWidth="1"/>
    <col min="1063" max="1280" width="8.83203125" style="2" customWidth="1"/>
    <col min="1281" max="1281" width="45.83203125" style="2" customWidth="1"/>
    <col min="1282" max="1285" width="14.83203125" style="2" customWidth="1"/>
    <col min="1286" max="1286" width="12.1640625" style="2" bestFit="1" customWidth="1"/>
    <col min="1287" max="1318" width="14.83203125" style="2" customWidth="1"/>
    <col min="1319" max="1536" width="8.83203125" style="2" customWidth="1"/>
    <col min="1537" max="1537" width="45.83203125" style="2" customWidth="1"/>
    <col min="1538" max="1541" width="14.83203125" style="2" customWidth="1"/>
    <col min="1542" max="1542" width="12.1640625" style="2" bestFit="1" customWidth="1"/>
    <col min="1543" max="1574" width="14.83203125" style="2" customWidth="1"/>
    <col min="1575" max="1792" width="8.83203125" style="2" customWidth="1"/>
    <col min="1793" max="1793" width="45.83203125" style="2" customWidth="1"/>
    <col min="1794" max="1797" width="14.83203125" style="2" customWidth="1"/>
    <col min="1798" max="1798" width="12.1640625" style="2" bestFit="1" customWidth="1"/>
    <col min="1799" max="1830" width="14.83203125" style="2" customWidth="1"/>
    <col min="1831" max="2048" width="8.83203125" style="2" customWidth="1"/>
    <col min="2049" max="2049" width="45.83203125" style="2" customWidth="1"/>
    <col min="2050" max="2053" width="14.83203125" style="2" customWidth="1"/>
    <col min="2054" max="2054" width="12.1640625" style="2" bestFit="1" customWidth="1"/>
    <col min="2055" max="2086" width="14.83203125" style="2" customWidth="1"/>
    <col min="2087" max="2304" width="8.83203125" style="2" customWidth="1"/>
    <col min="2305" max="2305" width="45.83203125" style="2" customWidth="1"/>
    <col min="2306" max="2309" width="14.83203125" style="2" customWidth="1"/>
    <col min="2310" max="2310" width="12.1640625" style="2" bestFit="1" customWidth="1"/>
    <col min="2311" max="2342" width="14.83203125" style="2" customWidth="1"/>
    <col min="2343" max="2560" width="8.83203125" style="2" customWidth="1"/>
    <col min="2561" max="2561" width="45.83203125" style="2" customWidth="1"/>
    <col min="2562" max="2565" width="14.83203125" style="2" customWidth="1"/>
    <col min="2566" max="2566" width="12.1640625" style="2" bestFit="1" customWidth="1"/>
    <col min="2567" max="2598" width="14.83203125" style="2" customWidth="1"/>
    <col min="2599" max="2816" width="8.83203125" style="2" customWidth="1"/>
    <col min="2817" max="2817" width="45.83203125" style="2" customWidth="1"/>
    <col min="2818" max="2821" width="14.83203125" style="2" customWidth="1"/>
    <col min="2822" max="2822" width="12.1640625" style="2" bestFit="1" customWidth="1"/>
    <col min="2823" max="2854" width="14.83203125" style="2" customWidth="1"/>
    <col min="2855" max="3072" width="8.83203125" style="2" customWidth="1"/>
    <col min="3073" max="3073" width="45.83203125" style="2" customWidth="1"/>
    <col min="3074" max="3077" width="14.83203125" style="2" customWidth="1"/>
    <col min="3078" max="3078" width="12.1640625" style="2" bestFit="1" customWidth="1"/>
    <col min="3079" max="3110" width="14.83203125" style="2" customWidth="1"/>
    <col min="3111" max="3328" width="8.83203125" style="2" customWidth="1"/>
    <col min="3329" max="3329" width="45.83203125" style="2" customWidth="1"/>
    <col min="3330" max="3333" width="14.83203125" style="2" customWidth="1"/>
    <col min="3334" max="3334" width="12.1640625" style="2" bestFit="1" customWidth="1"/>
    <col min="3335" max="3366" width="14.83203125" style="2" customWidth="1"/>
    <col min="3367" max="3584" width="8.83203125" style="2" customWidth="1"/>
    <col min="3585" max="3585" width="45.83203125" style="2" customWidth="1"/>
    <col min="3586" max="3589" width="14.83203125" style="2" customWidth="1"/>
    <col min="3590" max="3590" width="12.1640625" style="2" bestFit="1" customWidth="1"/>
    <col min="3591" max="3622" width="14.83203125" style="2" customWidth="1"/>
    <col min="3623" max="3840" width="8.83203125" style="2" customWidth="1"/>
    <col min="3841" max="3841" width="45.83203125" style="2" customWidth="1"/>
    <col min="3842" max="3845" width="14.83203125" style="2" customWidth="1"/>
    <col min="3846" max="3846" width="12.1640625" style="2" bestFit="1" customWidth="1"/>
    <col min="3847" max="3878" width="14.83203125" style="2" customWidth="1"/>
    <col min="3879" max="4096" width="8.83203125" style="2" customWidth="1"/>
    <col min="4097" max="4097" width="45.83203125" style="2" customWidth="1"/>
    <col min="4098" max="4101" width="14.83203125" style="2" customWidth="1"/>
    <col min="4102" max="4102" width="12.1640625" style="2" bestFit="1" customWidth="1"/>
    <col min="4103" max="4134" width="14.83203125" style="2" customWidth="1"/>
    <col min="4135" max="4352" width="8.83203125" style="2" customWidth="1"/>
    <col min="4353" max="4353" width="45.83203125" style="2" customWidth="1"/>
    <col min="4354" max="4357" width="14.83203125" style="2" customWidth="1"/>
    <col min="4358" max="4358" width="12.1640625" style="2" bestFit="1" customWidth="1"/>
    <col min="4359" max="4390" width="14.83203125" style="2" customWidth="1"/>
    <col min="4391" max="4608" width="8.83203125" style="2" customWidth="1"/>
    <col min="4609" max="4609" width="45.83203125" style="2" customWidth="1"/>
    <col min="4610" max="4613" width="14.83203125" style="2" customWidth="1"/>
    <col min="4614" max="4614" width="12.1640625" style="2" bestFit="1" customWidth="1"/>
    <col min="4615" max="4646" width="14.83203125" style="2" customWidth="1"/>
    <col min="4647" max="4864" width="8.83203125" style="2" customWidth="1"/>
    <col min="4865" max="4865" width="45.83203125" style="2" customWidth="1"/>
    <col min="4866" max="4869" width="14.83203125" style="2" customWidth="1"/>
    <col min="4870" max="4870" width="12.1640625" style="2" bestFit="1" customWidth="1"/>
    <col min="4871" max="4902" width="14.83203125" style="2" customWidth="1"/>
    <col min="4903" max="5120" width="8.83203125" style="2" customWidth="1"/>
    <col min="5121" max="5121" width="45.83203125" style="2" customWidth="1"/>
    <col min="5122" max="5125" width="14.83203125" style="2" customWidth="1"/>
    <col min="5126" max="5126" width="12.1640625" style="2" bestFit="1" customWidth="1"/>
    <col min="5127" max="5158" width="14.83203125" style="2" customWidth="1"/>
    <col min="5159" max="5376" width="8.83203125" style="2" customWidth="1"/>
    <col min="5377" max="5377" width="45.83203125" style="2" customWidth="1"/>
    <col min="5378" max="5381" width="14.83203125" style="2" customWidth="1"/>
    <col min="5382" max="5382" width="12.1640625" style="2" bestFit="1" customWidth="1"/>
    <col min="5383" max="5414" width="14.83203125" style="2" customWidth="1"/>
    <col min="5415" max="5632" width="8.83203125" style="2" customWidth="1"/>
    <col min="5633" max="5633" width="45.83203125" style="2" customWidth="1"/>
    <col min="5634" max="5637" width="14.83203125" style="2" customWidth="1"/>
    <col min="5638" max="5638" width="12.1640625" style="2" bestFit="1" customWidth="1"/>
    <col min="5639" max="5670" width="14.83203125" style="2" customWidth="1"/>
    <col min="5671" max="5888" width="8.83203125" style="2" customWidth="1"/>
    <col min="5889" max="5889" width="45.83203125" style="2" customWidth="1"/>
    <col min="5890" max="5893" width="14.83203125" style="2" customWidth="1"/>
    <col min="5894" max="5894" width="12.1640625" style="2" bestFit="1" customWidth="1"/>
    <col min="5895" max="5926" width="14.83203125" style="2" customWidth="1"/>
    <col min="5927" max="6144" width="8.83203125" style="2" customWidth="1"/>
    <col min="6145" max="6145" width="45.83203125" style="2" customWidth="1"/>
    <col min="6146" max="6149" width="14.83203125" style="2" customWidth="1"/>
    <col min="6150" max="6150" width="12.1640625" style="2" bestFit="1" customWidth="1"/>
    <col min="6151" max="6182" width="14.83203125" style="2" customWidth="1"/>
    <col min="6183" max="6400" width="8.83203125" style="2" customWidth="1"/>
    <col min="6401" max="6401" width="45.83203125" style="2" customWidth="1"/>
    <col min="6402" max="6405" width="14.83203125" style="2" customWidth="1"/>
    <col min="6406" max="6406" width="12.1640625" style="2" bestFit="1" customWidth="1"/>
    <col min="6407" max="6438" width="14.83203125" style="2" customWidth="1"/>
    <col min="6439" max="6656" width="8.83203125" style="2" customWidth="1"/>
    <col min="6657" max="6657" width="45.83203125" style="2" customWidth="1"/>
    <col min="6658" max="6661" width="14.83203125" style="2" customWidth="1"/>
    <col min="6662" max="6662" width="12.1640625" style="2" bestFit="1" customWidth="1"/>
    <col min="6663" max="6694" width="14.83203125" style="2" customWidth="1"/>
    <col min="6695" max="6912" width="8.83203125" style="2" customWidth="1"/>
    <col min="6913" max="6913" width="45.83203125" style="2" customWidth="1"/>
    <col min="6914" max="6917" width="14.83203125" style="2" customWidth="1"/>
    <col min="6918" max="6918" width="12.1640625" style="2" bestFit="1" customWidth="1"/>
    <col min="6919" max="6950" width="14.83203125" style="2" customWidth="1"/>
    <col min="6951" max="7168" width="8.83203125" style="2" customWidth="1"/>
    <col min="7169" max="7169" width="45.83203125" style="2" customWidth="1"/>
    <col min="7170" max="7173" width="14.83203125" style="2" customWidth="1"/>
    <col min="7174" max="7174" width="12.1640625" style="2" bestFit="1" customWidth="1"/>
    <col min="7175" max="7206" width="14.83203125" style="2" customWidth="1"/>
    <col min="7207" max="7424" width="8.83203125" style="2" customWidth="1"/>
    <col min="7425" max="7425" width="45.83203125" style="2" customWidth="1"/>
    <col min="7426" max="7429" width="14.83203125" style="2" customWidth="1"/>
    <col min="7430" max="7430" width="12.1640625" style="2" bestFit="1" customWidth="1"/>
    <col min="7431" max="7462" width="14.83203125" style="2" customWidth="1"/>
    <col min="7463" max="7680" width="8.83203125" style="2" customWidth="1"/>
    <col min="7681" max="7681" width="45.83203125" style="2" customWidth="1"/>
    <col min="7682" max="7685" width="14.83203125" style="2" customWidth="1"/>
    <col min="7686" max="7686" width="12.1640625" style="2" bestFit="1" customWidth="1"/>
    <col min="7687" max="7718" width="14.83203125" style="2" customWidth="1"/>
    <col min="7719" max="7936" width="8.83203125" style="2" customWidth="1"/>
    <col min="7937" max="7937" width="45.83203125" style="2" customWidth="1"/>
    <col min="7938" max="7941" width="14.83203125" style="2" customWidth="1"/>
    <col min="7942" max="7942" width="12.1640625" style="2" bestFit="1" customWidth="1"/>
    <col min="7943" max="7974" width="14.83203125" style="2" customWidth="1"/>
    <col min="7975" max="8192" width="8.83203125" style="2" customWidth="1"/>
    <col min="8193" max="8193" width="45.83203125" style="2" customWidth="1"/>
    <col min="8194" max="8197" width="14.83203125" style="2" customWidth="1"/>
    <col min="8198" max="8198" width="12.1640625" style="2" bestFit="1" customWidth="1"/>
    <col min="8199" max="8230" width="14.83203125" style="2" customWidth="1"/>
    <col min="8231" max="8448" width="8.83203125" style="2" customWidth="1"/>
    <col min="8449" max="8449" width="45.83203125" style="2" customWidth="1"/>
    <col min="8450" max="8453" width="14.83203125" style="2" customWidth="1"/>
    <col min="8454" max="8454" width="12.1640625" style="2" bestFit="1" customWidth="1"/>
    <col min="8455" max="8486" width="14.83203125" style="2" customWidth="1"/>
    <col min="8487" max="8704" width="8.83203125" style="2" customWidth="1"/>
    <col min="8705" max="8705" width="45.83203125" style="2" customWidth="1"/>
    <col min="8706" max="8709" width="14.83203125" style="2" customWidth="1"/>
    <col min="8710" max="8710" width="12.1640625" style="2" bestFit="1" customWidth="1"/>
    <col min="8711" max="8742" width="14.83203125" style="2" customWidth="1"/>
    <col min="8743" max="8960" width="8.83203125" style="2" customWidth="1"/>
    <col min="8961" max="8961" width="45.83203125" style="2" customWidth="1"/>
    <col min="8962" max="8965" width="14.83203125" style="2" customWidth="1"/>
    <col min="8966" max="8966" width="12.1640625" style="2" bestFit="1" customWidth="1"/>
    <col min="8967" max="8998" width="14.83203125" style="2" customWidth="1"/>
    <col min="8999" max="9216" width="8.83203125" style="2" customWidth="1"/>
    <col min="9217" max="9217" width="45.83203125" style="2" customWidth="1"/>
    <col min="9218" max="9221" width="14.83203125" style="2" customWidth="1"/>
    <col min="9222" max="9222" width="12.1640625" style="2" bestFit="1" customWidth="1"/>
    <col min="9223" max="9254" width="14.83203125" style="2" customWidth="1"/>
    <col min="9255" max="9472" width="8.83203125" style="2" customWidth="1"/>
    <col min="9473" max="9473" width="45.83203125" style="2" customWidth="1"/>
    <col min="9474" max="9477" width="14.83203125" style="2" customWidth="1"/>
    <col min="9478" max="9478" width="12.1640625" style="2" bestFit="1" customWidth="1"/>
    <col min="9479" max="9510" width="14.83203125" style="2" customWidth="1"/>
    <col min="9511" max="9728" width="8.83203125" style="2" customWidth="1"/>
    <col min="9729" max="9729" width="45.83203125" style="2" customWidth="1"/>
    <col min="9730" max="9733" width="14.83203125" style="2" customWidth="1"/>
    <col min="9734" max="9734" width="12.1640625" style="2" bestFit="1" customWidth="1"/>
    <col min="9735" max="9766" width="14.83203125" style="2" customWidth="1"/>
    <col min="9767" max="9984" width="8.83203125" style="2" customWidth="1"/>
    <col min="9985" max="9985" width="45.83203125" style="2" customWidth="1"/>
    <col min="9986" max="9989" width="14.83203125" style="2" customWidth="1"/>
    <col min="9990" max="9990" width="12.1640625" style="2" bestFit="1" customWidth="1"/>
    <col min="9991" max="10022" width="14.83203125" style="2" customWidth="1"/>
    <col min="10023" max="10240" width="8.83203125" style="2" customWidth="1"/>
    <col min="10241" max="10241" width="45.83203125" style="2" customWidth="1"/>
    <col min="10242" max="10245" width="14.83203125" style="2" customWidth="1"/>
    <col min="10246" max="10246" width="12.1640625" style="2" bestFit="1" customWidth="1"/>
    <col min="10247" max="10278" width="14.83203125" style="2" customWidth="1"/>
    <col min="10279" max="10496" width="8.83203125" style="2" customWidth="1"/>
    <col min="10497" max="10497" width="45.83203125" style="2" customWidth="1"/>
    <col min="10498" max="10501" width="14.83203125" style="2" customWidth="1"/>
    <col min="10502" max="10502" width="12.1640625" style="2" bestFit="1" customWidth="1"/>
    <col min="10503" max="10534" width="14.83203125" style="2" customWidth="1"/>
    <col min="10535" max="10752" width="8.83203125" style="2" customWidth="1"/>
    <col min="10753" max="10753" width="45.83203125" style="2" customWidth="1"/>
    <col min="10754" max="10757" width="14.83203125" style="2" customWidth="1"/>
    <col min="10758" max="10758" width="12.1640625" style="2" bestFit="1" customWidth="1"/>
    <col min="10759" max="10790" width="14.83203125" style="2" customWidth="1"/>
    <col min="10791" max="11008" width="8.83203125" style="2" customWidth="1"/>
    <col min="11009" max="11009" width="45.83203125" style="2" customWidth="1"/>
    <col min="11010" max="11013" width="14.83203125" style="2" customWidth="1"/>
    <col min="11014" max="11014" width="12.1640625" style="2" bestFit="1" customWidth="1"/>
    <col min="11015" max="11046" width="14.83203125" style="2" customWidth="1"/>
    <col min="11047" max="11264" width="8.83203125" style="2" customWidth="1"/>
    <col min="11265" max="11265" width="45.83203125" style="2" customWidth="1"/>
    <col min="11266" max="11269" width="14.83203125" style="2" customWidth="1"/>
    <col min="11270" max="11270" width="12.1640625" style="2" bestFit="1" customWidth="1"/>
    <col min="11271" max="11302" width="14.83203125" style="2" customWidth="1"/>
    <col min="11303" max="11520" width="8.83203125" style="2" customWidth="1"/>
    <col min="11521" max="11521" width="45.83203125" style="2" customWidth="1"/>
    <col min="11522" max="11525" width="14.83203125" style="2" customWidth="1"/>
    <col min="11526" max="11526" width="12.1640625" style="2" bestFit="1" customWidth="1"/>
    <col min="11527" max="11558" width="14.83203125" style="2" customWidth="1"/>
    <col min="11559" max="11776" width="8.83203125" style="2" customWidth="1"/>
    <col min="11777" max="11777" width="45.83203125" style="2" customWidth="1"/>
    <col min="11778" max="11781" width="14.83203125" style="2" customWidth="1"/>
    <col min="11782" max="11782" width="12.1640625" style="2" bestFit="1" customWidth="1"/>
    <col min="11783" max="11814" width="14.83203125" style="2" customWidth="1"/>
    <col min="11815" max="12032" width="8.83203125" style="2" customWidth="1"/>
    <col min="12033" max="12033" width="45.83203125" style="2" customWidth="1"/>
    <col min="12034" max="12037" width="14.83203125" style="2" customWidth="1"/>
    <col min="12038" max="12038" width="12.1640625" style="2" bestFit="1" customWidth="1"/>
    <col min="12039" max="12070" width="14.83203125" style="2" customWidth="1"/>
    <col min="12071" max="12288" width="8.83203125" style="2" customWidth="1"/>
    <col min="12289" max="12289" width="45.83203125" style="2" customWidth="1"/>
    <col min="12290" max="12293" width="14.83203125" style="2" customWidth="1"/>
    <col min="12294" max="12294" width="12.1640625" style="2" bestFit="1" customWidth="1"/>
    <col min="12295" max="12326" width="14.83203125" style="2" customWidth="1"/>
    <col min="12327" max="12544" width="8.83203125" style="2" customWidth="1"/>
    <col min="12545" max="12545" width="45.83203125" style="2" customWidth="1"/>
    <col min="12546" max="12549" width="14.83203125" style="2" customWidth="1"/>
    <col min="12550" max="12550" width="12.1640625" style="2" bestFit="1" customWidth="1"/>
    <col min="12551" max="12582" width="14.83203125" style="2" customWidth="1"/>
    <col min="12583" max="12800" width="8.83203125" style="2" customWidth="1"/>
    <col min="12801" max="12801" width="45.83203125" style="2" customWidth="1"/>
    <col min="12802" max="12805" width="14.83203125" style="2" customWidth="1"/>
    <col min="12806" max="12806" width="12.1640625" style="2" bestFit="1" customWidth="1"/>
    <col min="12807" max="12838" width="14.83203125" style="2" customWidth="1"/>
    <col min="12839" max="13056" width="8.83203125" style="2" customWidth="1"/>
    <col min="13057" max="13057" width="45.83203125" style="2" customWidth="1"/>
    <col min="13058" max="13061" width="14.83203125" style="2" customWidth="1"/>
    <col min="13062" max="13062" width="12.1640625" style="2" bestFit="1" customWidth="1"/>
    <col min="13063" max="13094" width="14.83203125" style="2" customWidth="1"/>
    <col min="13095" max="13312" width="8.83203125" style="2" customWidth="1"/>
    <col min="13313" max="13313" width="45.83203125" style="2" customWidth="1"/>
    <col min="13314" max="13317" width="14.83203125" style="2" customWidth="1"/>
    <col min="13318" max="13318" width="12.1640625" style="2" bestFit="1" customWidth="1"/>
    <col min="13319" max="13350" width="14.83203125" style="2" customWidth="1"/>
    <col min="13351" max="13568" width="8.83203125" style="2" customWidth="1"/>
    <col min="13569" max="13569" width="45.83203125" style="2" customWidth="1"/>
    <col min="13570" max="13573" width="14.83203125" style="2" customWidth="1"/>
    <col min="13574" max="13574" width="12.1640625" style="2" bestFit="1" customWidth="1"/>
    <col min="13575" max="13606" width="14.83203125" style="2" customWidth="1"/>
    <col min="13607" max="13824" width="8.83203125" style="2" customWidth="1"/>
    <col min="13825" max="13825" width="45.83203125" style="2" customWidth="1"/>
    <col min="13826" max="13829" width="14.83203125" style="2" customWidth="1"/>
    <col min="13830" max="13830" width="12.1640625" style="2" bestFit="1" customWidth="1"/>
    <col min="13831" max="13862" width="14.83203125" style="2" customWidth="1"/>
    <col min="13863" max="14080" width="8.83203125" style="2" customWidth="1"/>
    <col min="14081" max="14081" width="45.83203125" style="2" customWidth="1"/>
    <col min="14082" max="14085" width="14.83203125" style="2" customWidth="1"/>
    <col min="14086" max="14086" width="12.1640625" style="2" bestFit="1" customWidth="1"/>
    <col min="14087" max="14118" width="14.83203125" style="2" customWidth="1"/>
    <col min="14119" max="14336" width="8.83203125" style="2" customWidth="1"/>
    <col min="14337" max="14337" width="45.83203125" style="2" customWidth="1"/>
    <col min="14338" max="14341" width="14.83203125" style="2" customWidth="1"/>
    <col min="14342" max="14342" width="12.1640625" style="2" bestFit="1" customWidth="1"/>
    <col min="14343" max="14374" width="14.83203125" style="2" customWidth="1"/>
    <col min="14375" max="14592" width="8.83203125" style="2" customWidth="1"/>
    <col min="14593" max="14593" width="45.83203125" style="2" customWidth="1"/>
    <col min="14594" max="14597" width="14.83203125" style="2" customWidth="1"/>
    <col min="14598" max="14598" width="12.1640625" style="2" bestFit="1" customWidth="1"/>
    <col min="14599" max="14630" width="14.83203125" style="2" customWidth="1"/>
    <col min="14631" max="14848" width="8.83203125" style="2" customWidth="1"/>
    <col min="14849" max="14849" width="45.83203125" style="2" customWidth="1"/>
    <col min="14850" max="14853" width="14.83203125" style="2" customWidth="1"/>
    <col min="14854" max="14854" width="12.1640625" style="2" bestFit="1" customWidth="1"/>
    <col min="14855" max="14886" width="14.83203125" style="2" customWidth="1"/>
    <col min="14887" max="15104" width="8.83203125" style="2" customWidth="1"/>
    <col min="15105" max="15105" width="45.83203125" style="2" customWidth="1"/>
    <col min="15106" max="15109" width="14.83203125" style="2" customWidth="1"/>
    <col min="15110" max="15110" width="12.1640625" style="2" bestFit="1" customWidth="1"/>
    <col min="15111" max="15142" width="14.83203125" style="2" customWidth="1"/>
    <col min="15143" max="15360" width="8.83203125" style="2" customWidth="1"/>
    <col min="15361" max="15361" width="45.83203125" style="2" customWidth="1"/>
    <col min="15362" max="15365" width="14.83203125" style="2" customWidth="1"/>
    <col min="15366" max="15366" width="12.1640625" style="2" bestFit="1" customWidth="1"/>
    <col min="15367" max="15398" width="14.83203125" style="2" customWidth="1"/>
    <col min="15399" max="15616" width="8.83203125" style="2" customWidth="1"/>
    <col min="15617" max="15617" width="45.83203125" style="2" customWidth="1"/>
    <col min="15618" max="15621" width="14.83203125" style="2" customWidth="1"/>
    <col min="15622" max="15622" width="12.1640625" style="2" bestFit="1" customWidth="1"/>
    <col min="15623" max="15654" width="14.83203125" style="2" customWidth="1"/>
    <col min="15655" max="15872" width="8.83203125" style="2" customWidth="1"/>
    <col min="15873" max="15873" width="45.83203125" style="2" customWidth="1"/>
    <col min="15874" max="15877" width="14.83203125" style="2" customWidth="1"/>
    <col min="15878" max="15878" width="12.1640625" style="2" bestFit="1" customWidth="1"/>
    <col min="15879" max="15910" width="14.83203125" style="2" customWidth="1"/>
    <col min="15911" max="16128" width="8.83203125" style="2" customWidth="1"/>
    <col min="16129" max="16129" width="45.83203125" style="2" customWidth="1"/>
    <col min="16130" max="16133" width="14.83203125" style="2" customWidth="1"/>
    <col min="16134" max="16134" width="12.1640625" style="2" bestFit="1" customWidth="1"/>
    <col min="16135" max="16166" width="14.83203125" style="2" customWidth="1"/>
    <col min="16167" max="16384" width="8.83203125" style="2" customWidth="1"/>
  </cols>
  <sheetData>
    <row r="5" spans="1:254" x14ac:dyDescent="0.2">
      <c r="A5" s="1" t="s">
        <v>185</v>
      </c>
    </row>
    <row r="7" spans="1:254" ht="34" x14ac:dyDescent="0.2">
      <c r="A7" s="3" t="s">
        <v>75</v>
      </c>
      <c r="B7" s="4" t="s">
        <v>76</v>
      </c>
      <c r="C7" s="2" t="s">
        <v>77</v>
      </c>
      <c r="D7" s="5" t="s">
        <v>4</v>
      </c>
      <c r="E7" s="4" t="s">
        <v>78</v>
      </c>
      <c r="F7" s="2" t="s">
        <v>79</v>
      </c>
    </row>
    <row r="8" spans="1:254" x14ac:dyDescent="0.2">
      <c r="A8" s="5"/>
      <c r="B8" s="4" t="s">
        <v>80</v>
      </c>
      <c r="C8" s="2" t="s">
        <v>81</v>
      </c>
      <c r="D8" s="5" t="s">
        <v>4</v>
      </c>
      <c r="E8" s="4" t="s">
        <v>7</v>
      </c>
      <c r="F8" s="2" t="s">
        <v>8</v>
      </c>
    </row>
    <row r="9" spans="1:254" x14ac:dyDescent="0.2">
      <c r="A9" s="5"/>
      <c r="B9" s="4" t="s">
        <v>2</v>
      </c>
      <c r="C9" s="2" t="s">
        <v>82</v>
      </c>
      <c r="D9" s="5" t="s">
        <v>4</v>
      </c>
      <c r="E9" s="4" t="s">
        <v>5</v>
      </c>
      <c r="F9" s="2" t="s">
        <v>6</v>
      </c>
    </row>
    <row r="10" spans="1:254" x14ac:dyDescent="0.2">
      <c r="A10" s="5"/>
      <c r="B10" s="4" t="s">
        <v>9</v>
      </c>
      <c r="C10" s="2" t="s">
        <v>10</v>
      </c>
      <c r="D10" s="5" t="s">
        <v>4</v>
      </c>
      <c r="E10" s="4" t="s">
        <v>11</v>
      </c>
      <c r="F10" s="6" t="s">
        <v>12</v>
      </c>
    </row>
    <row r="11" spans="1:254" x14ac:dyDescent="0.2">
      <c r="A11" s="5"/>
      <c r="B11" s="4" t="s">
        <v>83</v>
      </c>
      <c r="C11" s="2" t="s">
        <v>84</v>
      </c>
      <c r="D11" s="5" t="s">
        <v>4</v>
      </c>
      <c r="E11" s="7"/>
      <c r="F11" s="7"/>
    </row>
    <row r="14" spans="1:254" x14ac:dyDescent="0.2">
      <c r="A14" s="8" t="s">
        <v>186</v>
      </c>
      <c r="B14" s="8"/>
      <c r="C14" s="8"/>
      <c r="D14" s="8"/>
      <c r="E14" s="8"/>
      <c r="F14" s="8"/>
      <c r="G14" s="8"/>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9"/>
      <c r="FN14" s="9"/>
      <c r="FO14" s="9"/>
      <c r="FP14" s="9"/>
      <c r="FQ14" s="9"/>
      <c r="FR14" s="9"/>
      <c r="FS14" s="9"/>
      <c r="FT14" s="9"/>
      <c r="FU14" s="9"/>
      <c r="FV14" s="9"/>
      <c r="FW14" s="9"/>
      <c r="FX14" s="9"/>
      <c r="FY14" s="9"/>
      <c r="FZ14" s="9"/>
      <c r="GA14" s="9"/>
      <c r="GB14" s="9"/>
      <c r="GC14" s="9"/>
      <c r="GD14" s="9"/>
      <c r="GE14" s="9"/>
      <c r="GF14" s="9"/>
      <c r="GG14" s="9"/>
      <c r="GH14" s="9"/>
      <c r="GI14" s="9"/>
      <c r="GJ14" s="9"/>
      <c r="GK14" s="9"/>
      <c r="GL14" s="9"/>
      <c r="GM14" s="9"/>
      <c r="GN14" s="9"/>
      <c r="GO14" s="9"/>
      <c r="GP14" s="9"/>
      <c r="GQ14" s="9"/>
      <c r="GR14" s="9"/>
      <c r="GS14" s="9"/>
      <c r="GT14" s="9"/>
      <c r="GU14" s="9"/>
      <c r="GV14" s="9"/>
      <c r="GW14" s="9"/>
      <c r="GX14" s="9"/>
      <c r="GY14" s="9"/>
      <c r="GZ14" s="9"/>
      <c r="HA14" s="9"/>
      <c r="HB14" s="9"/>
      <c r="HC14" s="9"/>
      <c r="HD14" s="9"/>
      <c r="HE14" s="9"/>
      <c r="HF14" s="9"/>
      <c r="HG14" s="9"/>
      <c r="HH14" s="9"/>
      <c r="HI14" s="9"/>
      <c r="HJ14" s="9"/>
      <c r="HK14" s="9"/>
      <c r="HL14" s="9"/>
      <c r="HM14" s="9"/>
      <c r="HN14" s="9"/>
      <c r="HO14" s="9"/>
      <c r="HP14" s="9"/>
      <c r="HQ14" s="9"/>
      <c r="HR14" s="9"/>
      <c r="HS14" s="9"/>
      <c r="HT14" s="9"/>
      <c r="HU14" s="9"/>
      <c r="HV14" s="9"/>
      <c r="HW14" s="9"/>
      <c r="HX14" s="9"/>
      <c r="HY14" s="9"/>
      <c r="HZ14" s="9"/>
      <c r="IA14" s="9"/>
      <c r="IB14" s="9"/>
      <c r="IC14" s="9"/>
      <c r="ID14" s="9"/>
      <c r="IE14" s="9"/>
      <c r="IF14" s="9"/>
      <c r="IG14" s="9"/>
      <c r="IH14" s="9"/>
      <c r="II14" s="9"/>
      <c r="IJ14" s="9"/>
      <c r="IK14" s="9"/>
      <c r="IL14" s="9"/>
      <c r="IM14" s="9"/>
      <c r="IN14" s="9"/>
      <c r="IO14" s="9"/>
      <c r="IP14" s="9"/>
      <c r="IQ14" s="9"/>
      <c r="IR14" s="9"/>
      <c r="IS14" s="9"/>
      <c r="IT14" s="9"/>
    </row>
    <row r="15" spans="1:254" ht="34" x14ac:dyDescent="0.2">
      <c r="A15" s="10" t="s">
        <v>187</v>
      </c>
      <c r="B15" s="11" t="s">
        <v>188</v>
      </c>
      <c r="C15" s="11" t="s">
        <v>189</v>
      </c>
      <c r="D15" s="47">
        <v>44618</v>
      </c>
      <c r="E15" s="11" t="s">
        <v>190</v>
      </c>
      <c r="F15" s="47">
        <v>45346</v>
      </c>
      <c r="G15" s="47">
        <v>45710</v>
      </c>
    </row>
    <row r="16" spans="1:254" ht="17" x14ac:dyDescent="0.2">
      <c r="A16" s="12" t="s">
        <v>23</v>
      </c>
      <c r="B16" s="13" t="s">
        <v>24</v>
      </c>
      <c r="C16" s="13" t="s">
        <v>24</v>
      </c>
      <c r="D16" s="13" t="s">
        <v>24</v>
      </c>
      <c r="E16" s="13" t="s">
        <v>24</v>
      </c>
      <c r="F16" s="13" t="s">
        <v>24</v>
      </c>
      <c r="G16" s="13" t="s">
        <v>24</v>
      </c>
    </row>
    <row r="17" spans="1:7" x14ac:dyDescent="0.2">
      <c r="A17" s="14" t="s">
        <v>191</v>
      </c>
      <c r="B17" s="5"/>
      <c r="C17" s="5"/>
      <c r="D17" s="5"/>
      <c r="E17" s="5"/>
      <c r="F17" s="5"/>
      <c r="G17" s="5"/>
    </row>
    <row r="18" spans="1:7" x14ac:dyDescent="0.2">
      <c r="A18" s="5" t="s">
        <v>192</v>
      </c>
      <c r="B18" s="15">
        <v>4137</v>
      </c>
      <c r="C18" s="15">
        <v>2510</v>
      </c>
      <c r="D18" s="15">
        <v>2345</v>
      </c>
      <c r="E18" s="15">
        <v>2465</v>
      </c>
      <c r="F18" s="15">
        <v>2340</v>
      </c>
      <c r="G18" s="15">
        <v>2255</v>
      </c>
    </row>
    <row r="19" spans="1:7" x14ac:dyDescent="0.2">
      <c r="A19" s="5" t="s">
        <v>193</v>
      </c>
      <c r="B19" s="15">
        <v>1076</v>
      </c>
      <c r="C19" s="15">
        <v>1011</v>
      </c>
      <c r="D19" s="15">
        <v>2302</v>
      </c>
      <c r="E19" s="15">
        <v>1981</v>
      </c>
      <c r="F19" s="15">
        <v>2334</v>
      </c>
      <c r="G19" s="15">
        <v>2374</v>
      </c>
    </row>
    <row r="20" spans="1:7" x14ac:dyDescent="0.2">
      <c r="A20" s="14" t="s">
        <v>194</v>
      </c>
      <c r="B20" s="16">
        <v>5213</v>
      </c>
      <c r="C20" s="16">
        <v>3521</v>
      </c>
      <c r="D20" s="16">
        <v>4647</v>
      </c>
      <c r="E20" s="16">
        <v>4446</v>
      </c>
      <c r="F20" s="16">
        <v>4674</v>
      </c>
      <c r="G20" s="16">
        <v>4629</v>
      </c>
    </row>
    <row r="21" spans="1:7" x14ac:dyDescent="0.2">
      <c r="A21" s="5"/>
      <c r="B21" s="5"/>
      <c r="C21" s="5"/>
      <c r="D21" s="5"/>
      <c r="E21" s="5"/>
      <c r="F21" s="5"/>
      <c r="G21" s="5"/>
    </row>
    <row r="22" spans="1:7" x14ac:dyDescent="0.2">
      <c r="A22" s="5" t="s">
        <v>195</v>
      </c>
      <c r="B22" s="15">
        <v>1396</v>
      </c>
      <c r="C22" s="15">
        <v>1263</v>
      </c>
      <c r="D22" s="15">
        <v>1263</v>
      </c>
      <c r="E22" s="15">
        <v>1235</v>
      </c>
      <c r="F22" s="15">
        <v>1349</v>
      </c>
      <c r="G22" s="15">
        <v>1210</v>
      </c>
    </row>
    <row r="23" spans="1:7" x14ac:dyDescent="0.2">
      <c r="A23" s="5" t="s">
        <v>196</v>
      </c>
      <c r="B23" s="15">
        <v>21</v>
      </c>
      <c r="C23" s="15">
        <v>41</v>
      </c>
      <c r="D23" s="15">
        <v>93</v>
      </c>
      <c r="E23" s="15">
        <v>63</v>
      </c>
      <c r="F23" s="15">
        <v>110</v>
      </c>
      <c r="G23" s="15">
        <v>27</v>
      </c>
    </row>
    <row r="24" spans="1:7" x14ac:dyDescent="0.2">
      <c r="A24" s="5" t="s">
        <v>197</v>
      </c>
      <c r="B24" s="15">
        <v>0</v>
      </c>
      <c r="C24" s="15">
        <v>0</v>
      </c>
      <c r="D24" s="15">
        <v>0</v>
      </c>
      <c r="E24" s="15">
        <v>0</v>
      </c>
      <c r="F24" s="15">
        <v>0</v>
      </c>
      <c r="G24" s="15">
        <v>0</v>
      </c>
    </row>
    <row r="25" spans="1:7" x14ac:dyDescent="0.2">
      <c r="A25" s="14" t="s">
        <v>198</v>
      </c>
      <c r="B25" s="16">
        <v>1417</v>
      </c>
      <c r="C25" s="16">
        <v>1304</v>
      </c>
      <c r="D25" s="16">
        <v>1356</v>
      </c>
      <c r="E25" s="16">
        <v>1298</v>
      </c>
      <c r="F25" s="16">
        <v>1459</v>
      </c>
      <c r="G25" s="16">
        <v>1237</v>
      </c>
    </row>
    <row r="26" spans="1:7" x14ac:dyDescent="0.2">
      <c r="A26" s="5"/>
      <c r="B26" s="5"/>
      <c r="C26" s="5"/>
      <c r="D26" s="5"/>
      <c r="E26" s="5"/>
      <c r="F26" s="5"/>
      <c r="G26" s="5"/>
    </row>
    <row r="27" spans="1:7" x14ac:dyDescent="0.2">
      <c r="A27" s="5" t="s">
        <v>199</v>
      </c>
      <c r="B27" s="15">
        <v>2433</v>
      </c>
      <c r="C27" s="15">
        <v>2069</v>
      </c>
      <c r="D27" s="15">
        <v>2339</v>
      </c>
      <c r="E27" s="15">
        <v>2510</v>
      </c>
      <c r="F27" s="15">
        <v>2635</v>
      </c>
      <c r="G27" s="15">
        <v>2768</v>
      </c>
    </row>
    <row r="28" spans="1:7" x14ac:dyDescent="0.2">
      <c r="A28" s="5" t="s">
        <v>200</v>
      </c>
      <c r="B28" s="15">
        <v>0</v>
      </c>
      <c r="C28" s="15">
        <v>0</v>
      </c>
      <c r="D28" s="15">
        <v>0</v>
      </c>
      <c r="E28" s="15">
        <v>0</v>
      </c>
      <c r="F28" s="15">
        <v>0</v>
      </c>
      <c r="G28" s="15">
        <v>0</v>
      </c>
    </row>
    <row r="29" spans="1:7" x14ac:dyDescent="0.2">
      <c r="A29" s="5" t="s">
        <v>201</v>
      </c>
      <c r="B29" s="15">
        <v>4280</v>
      </c>
      <c r="C29" s="15">
        <v>3093</v>
      </c>
      <c r="D29" s="15">
        <v>3349</v>
      </c>
      <c r="E29" s="15">
        <v>3948</v>
      </c>
      <c r="F29" s="15">
        <v>0</v>
      </c>
      <c r="G29" s="15">
        <v>0</v>
      </c>
    </row>
    <row r="30" spans="1:7" x14ac:dyDescent="0.2">
      <c r="A30" s="5" t="s">
        <v>202</v>
      </c>
      <c r="B30" s="15">
        <v>247</v>
      </c>
      <c r="C30" s="15">
        <v>178</v>
      </c>
      <c r="D30" s="15">
        <v>61</v>
      </c>
      <c r="E30" s="15">
        <v>0</v>
      </c>
      <c r="F30" s="15">
        <v>0</v>
      </c>
      <c r="G30" s="15">
        <v>0</v>
      </c>
    </row>
    <row r="31" spans="1:7" x14ac:dyDescent="0.2">
      <c r="A31" s="5" t="s">
        <v>203</v>
      </c>
      <c r="B31" s="15">
        <v>303</v>
      </c>
      <c r="C31" s="15">
        <v>642</v>
      </c>
      <c r="D31" s="15">
        <v>437</v>
      </c>
      <c r="E31" s="15">
        <v>267</v>
      </c>
      <c r="F31" s="15">
        <v>7838</v>
      </c>
      <c r="G31" s="15">
        <v>222</v>
      </c>
    </row>
    <row r="32" spans="1:7" x14ac:dyDescent="0.2">
      <c r="A32" s="14" t="s">
        <v>204</v>
      </c>
      <c r="B32" s="16">
        <v>13893</v>
      </c>
      <c r="C32" s="16">
        <v>10807</v>
      </c>
      <c r="D32" s="16">
        <v>12189</v>
      </c>
      <c r="E32" s="16">
        <v>12469</v>
      </c>
      <c r="F32" s="16">
        <v>16606</v>
      </c>
      <c r="G32" s="16">
        <v>8856</v>
      </c>
    </row>
    <row r="33" spans="1:8" x14ac:dyDescent="0.2">
      <c r="A33" s="5"/>
      <c r="B33" s="5"/>
      <c r="C33" s="5"/>
      <c r="D33" s="5"/>
      <c r="E33" s="5"/>
      <c r="F33" s="5"/>
      <c r="G33" s="5"/>
    </row>
    <row r="34" spans="1:8" x14ac:dyDescent="0.2">
      <c r="A34" s="5" t="s">
        <v>205</v>
      </c>
      <c r="B34" s="15">
        <v>37904</v>
      </c>
      <c r="C34" s="15">
        <v>33335</v>
      </c>
      <c r="D34" s="15">
        <v>33335</v>
      </c>
      <c r="E34" s="15">
        <v>33984</v>
      </c>
      <c r="F34" s="15">
        <v>34574</v>
      </c>
      <c r="G34" s="15">
        <v>34986</v>
      </c>
    </row>
    <row r="35" spans="1:8" x14ac:dyDescent="0.2">
      <c r="A35" s="5" t="s">
        <v>206</v>
      </c>
      <c r="B35" s="15">
        <v>-12559</v>
      </c>
      <c r="C35" s="15">
        <v>-10451</v>
      </c>
      <c r="D35" s="15">
        <v>-10566</v>
      </c>
      <c r="E35" s="15">
        <v>-11632</v>
      </c>
      <c r="F35" s="15">
        <v>-11875</v>
      </c>
      <c r="G35" s="15">
        <v>-12155</v>
      </c>
      <c r="H35" s="187"/>
    </row>
    <row r="36" spans="1:8" x14ac:dyDescent="0.2">
      <c r="A36" s="14" t="s">
        <v>207</v>
      </c>
      <c r="B36" s="16">
        <v>25345</v>
      </c>
      <c r="C36" s="16">
        <v>22884</v>
      </c>
      <c r="D36" s="16">
        <v>22769</v>
      </c>
      <c r="E36" s="16">
        <v>22352</v>
      </c>
      <c r="F36" s="16">
        <v>22699</v>
      </c>
      <c r="G36" s="16">
        <v>22831</v>
      </c>
    </row>
    <row r="37" spans="1:8" x14ac:dyDescent="0.2">
      <c r="A37" s="5"/>
      <c r="B37" s="5"/>
      <c r="C37" s="5"/>
      <c r="D37" s="5"/>
      <c r="E37" s="5"/>
      <c r="F37" s="5"/>
      <c r="G37" s="5"/>
    </row>
    <row r="38" spans="1:8" x14ac:dyDescent="0.2">
      <c r="A38" s="5" t="s">
        <v>208</v>
      </c>
      <c r="B38" s="15">
        <v>78</v>
      </c>
      <c r="C38" s="15">
        <v>94</v>
      </c>
      <c r="D38" s="15">
        <v>98</v>
      </c>
      <c r="E38" s="15">
        <v>311</v>
      </c>
      <c r="F38" s="15">
        <v>1648</v>
      </c>
      <c r="G38" s="15">
        <v>1044</v>
      </c>
    </row>
    <row r="39" spans="1:8" x14ac:dyDescent="0.2">
      <c r="A39" s="5" t="s">
        <v>209</v>
      </c>
      <c r="B39" s="15">
        <v>0</v>
      </c>
      <c r="C39" s="15">
        <v>0</v>
      </c>
      <c r="D39" s="15">
        <v>0</v>
      </c>
      <c r="E39" s="15">
        <v>0</v>
      </c>
      <c r="F39" s="15">
        <v>4128</v>
      </c>
      <c r="G39" s="15">
        <v>4164</v>
      </c>
    </row>
    <row r="40" spans="1:8" x14ac:dyDescent="0.2">
      <c r="A40" s="5" t="s">
        <v>210</v>
      </c>
      <c r="B40" s="15">
        <v>4876</v>
      </c>
      <c r="C40" s="15">
        <v>4782</v>
      </c>
      <c r="D40" s="15">
        <v>4731</v>
      </c>
      <c r="E40" s="15">
        <v>4752</v>
      </c>
      <c r="F40" s="15">
        <v>938</v>
      </c>
      <c r="G40" s="15">
        <v>923</v>
      </c>
    </row>
    <row r="41" spans="1:8" x14ac:dyDescent="0.2">
      <c r="A41" s="5" t="s">
        <v>211</v>
      </c>
      <c r="B41" s="15">
        <v>4171</v>
      </c>
      <c r="C41" s="15">
        <v>3309</v>
      </c>
      <c r="D41" s="15">
        <v>3141</v>
      </c>
      <c r="E41" s="15">
        <v>3029</v>
      </c>
      <c r="F41" s="15">
        <v>0</v>
      </c>
      <c r="G41" s="15">
        <v>0</v>
      </c>
    </row>
    <row r="42" spans="1:8" x14ac:dyDescent="0.2">
      <c r="A42" s="5" t="s">
        <v>212</v>
      </c>
      <c r="B42" s="15">
        <v>1943</v>
      </c>
      <c r="C42" s="15">
        <v>1537</v>
      </c>
      <c r="D42" s="15">
        <v>2129</v>
      </c>
      <c r="E42" s="15">
        <v>1889</v>
      </c>
      <c r="F42" s="15">
        <v>0</v>
      </c>
      <c r="G42" s="15">
        <v>0</v>
      </c>
    </row>
    <row r="43" spans="1:8" x14ac:dyDescent="0.2">
      <c r="A43" s="5" t="s">
        <v>213</v>
      </c>
      <c r="B43" s="15">
        <v>166</v>
      </c>
      <c r="C43" s="15">
        <v>170</v>
      </c>
      <c r="D43" s="15">
        <v>159</v>
      </c>
      <c r="E43" s="15">
        <v>79</v>
      </c>
      <c r="F43" s="15">
        <v>36</v>
      </c>
      <c r="G43" s="15">
        <v>158</v>
      </c>
    </row>
    <row r="44" spans="1:8" x14ac:dyDescent="0.2">
      <c r="A44" s="5" t="s">
        <v>214</v>
      </c>
      <c r="B44" s="15">
        <v>319</v>
      </c>
      <c r="C44" s="15">
        <v>485</v>
      </c>
      <c r="D44" s="15">
        <v>21</v>
      </c>
      <c r="E44" s="15">
        <v>84</v>
      </c>
      <c r="F44" s="15">
        <v>32</v>
      </c>
      <c r="G44" s="15">
        <v>47</v>
      </c>
    </row>
    <row r="45" spans="1:8" x14ac:dyDescent="0.2">
      <c r="A45" s="5" t="s">
        <v>215</v>
      </c>
      <c r="B45" s="15">
        <v>0</v>
      </c>
      <c r="C45" s="15">
        <v>0</v>
      </c>
      <c r="D45" s="15">
        <v>0</v>
      </c>
      <c r="E45" s="15">
        <v>0</v>
      </c>
      <c r="F45" s="15">
        <v>0</v>
      </c>
      <c r="G45" s="15">
        <v>0</v>
      </c>
    </row>
    <row r="46" spans="1:8" x14ac:dyDescent="0.2">
      <c r="A46" s="5" t="s">
        <v>216</v>
      </c>
      <c r="B46" s="15">
        <v>2356</v>
      </c>
      <c r="C46" s="15">
        <v>1444</v>
      </c>
      <c r="D46" s="15">
        <v>4114</v>
      </c>
      <c r="E46" s="15">
        <v>903</v>
      </c>
      <c r="F46" s="15">
        <v>952</v>
      </c>
      <c r="G46" s="15">
        <v>867</v>
      </c>
    </row>
    <row r="47" spans="1:8" x14ac:dyDescent="0.2">
      <c r="A47" s="14" t="s">
        <v>217</v>
      </c>
      <c r="B47" s="18">
        <v>53147</v>
      </c>
      <c r="C47" s="18">
        <v>45512</v>
      </c>
      <c r="D47" s="18">
        <v>49351</v>
      </c>
      <c r="E47" s="18">
        <v>45868</v>
      </c>
      <c r="F47" s="18">
        <v>47039</v>
      </c>
      <c r="G47" s="18">
        <v>38890</v>
      </c>
    </row>
    <row r="48" spans="1:8" x14ac:dyDescent="0.2">
      <c r="A48" s="5"/>
      <c r="B48" s="5"/>
      <c r="C48" s="5"/>
      <c r="D48" s="5"/>
      <c r="E48" s="5"/>
      <c r="F48" s="5"/>
      <c r="G48" s="5"/>
    </row>
    <row r="49" spans="1:7" x14ac:dyDescent="0.2">
      <c r="A49" s="14" t="s">
        <v>218</v>
      </c>
      <c r="B49" s="5"/>
      <c r="C49" s="5"/>
      <c r="D49" s="5"/>
      <c r="E49" s="5"/>
      <c r="F49" s="5"/>
      <c r="G49" s="5"/>
    </row>
    <row r="50" spans="1:7" x14ac:dyDescent="0.2">
      <c r="A50" s="5" t="s">
        <v>219</v>
      </c>
      <c r="B50" s="15">
        <v>8922</v>
      </c>
      <c r="C50" s="15">
        <v>8399</v>
      </c>
      <c r="D50" s="15">
        <v>9181</v>
      </c>
      <c r="E50" s="15">
        <v>9762</v>
      </c>
      <c r="F50" s="15">
        <v>10264</v>
      </c>
      <c r="G50" s="15">
        <v>10364</v>
      </c>
    </row>
    <row r="51" spans="1:7" x14ac:dyDescent="0.2">
      <c r="A51" s="5" t="s">
        <v>220</v>
      </c>
      <c r="B51" s="15">
        <v>0</v>
      </c>
      <c r="C51" s="15">
        <v>0</v>
      </c>
      <c r="D51" s="15">
        <v>0</v>
      </c>
      <c r="E51" s="15">
        <v>0</v>
      </c>
      <c r="F51" s="15">
        <v>0</v>
      </c>
      <c r="G51" s="15">
        <v>0</v>
      </c>
    </row>
    <row r="52" spans="1:7" x14ac:dyDescent="0.2">
      <c r="A52" s="5" t="s">
        <v>221</v>
      </c>
      <c r="B52" s="15">
        <v>1142</v>
      </c>
      <c r="C52" s="15">
        <v>559</v>
      </c>
      <c r="D52" s="15">
        <v>605</v>
      </c>
      <c r="E52" s="15">
        <v>928</v>
      </c>
      <c r="F52" s="15">
        <v>838</v>
      </c>
      <c r="G52" s="15">
        <v>882</v>
      </c>
    </row>
    <row r="53" spans="1:7" x14ac:dyDescent="0.2">
      <c r="A53" s="5" t="s">
        <v>222</v>
      </c>
      <c r="B53" s="15">
        <v>1077</v>
      </c>
      <c r="C53" s="15">
        <v>521</v>
      </c>
      <c r="D53" s="15">
        <v>120</v>
      </c>
      <c r="E53" s="15">
        <v>842</v>
      </c>
      <c r="F53" s="15">
        <v>698</v>
      </c>
      <c r="G53" s="15">
        <v>979</v>
      </c>
    </row>
    <row r="54" spans="1:7" x14ac:dyDescent="0.2">
      <c r="A54" s="5" t="s">
        <v>223</v>
      </c>
      <c r="B54" s="15">
        <v>598</v>
      </c>
      <c r="C54" s="15">
        <v>575</v>
      </c>
      <c r="D54" s="15">
        <v>547</v>
      </c>
      <c r="E54" s="15">
        <v>595</v>
      </c>
      <c r="F54" s="15">
        <v>584</v>
      </c>
      <c r="G54" s="15">
        <v>618</v>
      </c>
    </row>
    <row r="55" spans="1:7" x14ac:dyDescent="0.2">
      <c r="A55" s="5" t="s">
        <v>224</v>
      </c>
      <c r="B55" s="15">
        <v>0</v>
      </c>
      <c r="C55" s="15">
        <v>0</v>
      </c>
      <c r="D55" s="15">
        <v>0</v>
      </c>
      <c r="E55" s="15">
        <v>0</v>
      </c>
      <c r="F55" s="15">
        <v>0</v>
      </c>
      <c r="G55" s="15">
        <v>0</v>
      </c>
    </row>
    <row r="56" spans="1:7" x14ac:dyDescent="0.2">
      <c r="A56" s="5" t="s">
        <v>225</v>
      </c>
      <c r="B56" s="15">
        <v>6377</v>
      </c>
      <c r="C56" s="15">
        <v>5321</v>
      </c>
      <c r="D56" s="15">
        <v>4729</v>
      </c>
      <c r="E56" s="15">
        <v>4485</v>
      </c>
      <c r="F56" s="15">
        <v>108</v>
      </c>
      <c r="G56" s="15">
        <v>0</v>
      </c>
    </row>
    <row r="57" spans="1:7" x14ac:dyDescent="0.2">
      <c r="A57" s="5" t="s">
        <v>226</v>
      </c>
      <c r="B57" s="15">
        <v>324</v>
      </c>
      <c r="C57" s="15">
        <v>79</v>
      </c>
      <c r="D57" s="15">
        <v>11</v>
      </c>
      <c r="E57" s="15">
        <v>18</v>
      </c>
      <c r="F57" s="15">
        <v>1</v>
      </c>
      <c r="G57" s="15">
        <v>13</v>
      </c>
    </row>
    <row r="58" spans="1:7" x14ac:dyDescent="0.2">
      <c r="A58" s="5" t="s">
        <v>227</v>
      </c>
      <c r="B58" s="15">
        <v>0</v>
      </c>
      <c r="C58" s="15">
        <v>0</v>
      </c>
      <c r="D58" s="15">
        <v>0</v>
      </c>
      <c r="E58" s="15">
        <v>0</v>
      </c>
      <c r="F58" s="15">
        <v>0</v>
      </c>
      <c r="G58" s="15">
        <v>0</v>
      </c>
    </row>
    <row r="59" spans="1:7" x14ac:dyDescent="0.2">
      <c r="A59" s="5" t="s">
        <v>228</v>
      </c>
      <c r="B59" s="15">
        <v>216</v>
      </c>
      <c r="C59" s="15">
        <v>543</v>
      </c>
      <c r="D59" s="15">
        <v>946</v>
      </c>
      <c r="E59" s="15">
        <v>980</v>
      </c>
      <c r="F59" s="15">
        <v>7979</v>
      </c>
      <c r="G59" s="15">
        <v>964</v>
      </c>
    </row>
    <row r="60" spans="1:7" x14ac:dyDescent="0.2">
      <c r="A60" s="14" t="s">
        <v>229</v>
      </c>
      <c r="B60" s="16">
        <v>18656</v>
      </c>
      <c r="C60" s="16">
        <v>15997</v>
      </c>
      <c r="D60" s="16">
        <v>16139</v>
      </c>
      <c r="E60" s="16">
        <v>17610</v>
      </c>
      <c r="F60" s="16">
        <v>20472</v>
      </c>
      <c r="G60" s="16">
        <v>13820</v>
      </c>
    </row>
    <row r="61" spans="1:7" x14ac:dyDescent="0.2">
      <c r="A61" s="5"/>
      <c r="B61" s="5"/>
      <c r="C61" s="5"/>
      <c r="D61" s="5"/>
      <c r="E61" s="5"/>
      <c r="F61" s="5"/>
      <c r="G61" s="5"/>
    </row>
    <row r="62" spans="1:7" x14ac:dyDescent="0.2">
      <c r="A62" s="5" t="s">
        <v>230</v>
      </c>
      <c r="B62" s="15">
        <v>6005</v>
      </c>
      <c r="C62" s="15">
        <v>6188</v>
      </c>
      <c r="D62" s="15">
        <v>6674</v>
      </c>
      <c r="E62" s="15">
        <v>5581</v>
      </c>
      <c r="F62" s="15">
        <v>5683</v>
      </c>
      <c r="G62" s="15">
        <v>5089</v>
      </c>
    </row>
    <row r="63" spans="1:7" x14ac:dyDescent="0.2">
      <c r="A63" s="5" t="s">
        <v>231</v>
      </c>
      <c r="B63" s="15">
        <v>8968</v>
      </c>
      <c r="C63" s="15">
        <v>7827</v>
      </c>
      <c r="D63" s="15">
        <v>7411</v>
      </c>
      <c r="E63" s="15">
        <v>7132</v>
      </c>
      <c r="F63" s="15">
        <v>7038</v>
      </c>
      <c r="G63" s="15">
        <v>7098</v>
      </c>
    </row>
    <row r="64" spans="1:7" x14ac:dyDescent="0.2">
      <c r="A64" s="5" t="s">
        <v>232</v>
      </c>
      <c r="B64" s="15">
        <v>0</v>
      </c>
      <c r="C64" s="15">
        <v>0</v>
      </c>
      <c r="D64" s="15">
        <v>0</v>
      </c>
      <c r="E64" s="15">
        <v>0</v>
      </c>
      <c r="F64" s="15">
        <v>0</v>
      </c>
      <c r="G64" s="15">
        <v>0</v>
      </c>
    </row>
    <row r="65" spans="1:7" x14ac:dyDescent="0.2">
      <c r="A65" s="5" t="s">
        <v>233</v>
      </c>
      <c r="B65" s="15">
        <v>1830</v>
      </c>
      <c r="C65" s="15">
        <v>1017</v>
      </c>
      <c r="D65" s="15">
        <v>1650</v>
      </c>
      <c r="E65" s="15">
        <v>2265</v>
      </c>
      <c r="F65" s="15">
        <v>0</v>
      </c>
      <c r="G65" s="15">
        <v>0</v>
      </c>
    </row>
    <row r="66" spans="1:7" x14ac:dyDescent="0.2">
      <c r="A66" s="5" t="s">
        <v>234</v>
      </c>
      <c r="B66" s="15">
        <v>0</v>
      </c>
      <c r="C66" s="15">
        <v>0</v>
      </c>
      <c r="D66" s="15">
        <v>0</v>
      </c>
      <c r="E66" s="15">
        <v>0</v>
      </c>
      <c r="F66" s="15">
        <v>0</v>
      </c>
      <c r="G66" s="15">
        <v>0</v>
      </c>
    </row>
    <row r="67" spans="1:7" x14ac:dyDescent="0.2">
      <c r="A67" s="5" t="s">
        <v>235</v>
      </c>
      <c r="B67" s="15">
        <v>3085</v>
      </c>
      <c r="C67" s="15">
        <v>1222</v>
      </c>
      <c r="D67" s="15">
        <v>303</v>
      </c>
      <c r="E67" s="15">
        <v>400</v>
      </c>
      <c r="F67" s="15">
        <v>657</v>
      </c>
      <c r="G67" s="15">
        <v>307</v>
      </c>
    </row>
    <row r="68" spans="1:7" x14ac:dyDescent="0.2">
      <c r="A68" s="5" t="s">
        <v>236</v>
      </c>
      <c r="B68" s="15">
        <v>40</v>
      </c>
      <c r="C68" s="15">
        <v>48</v>
      </c>
      <c r="D68" s="15">
        <v>910</v>
      </c>
      <c r="E68" s="15">
        <v>119</v>
      </c>
      <c r="F68" s="15">
        <v>269</v>
      </c>
      <c r="G68" s="15">
        <v>503</v>
      </c>
    </row>
    <row r="69" spans="1:7" x14ac:dyDescent="0.2">
      <c r="A69" s="5" t="s">
        <v>237</v>
      </c>
      <c r="B69" s="15">
        <v>1194</v>
      </c>
      <c r="C69" s="15">
        <v>1154</v>
      </c>
      <c r="D69" s="15">
        <v>620</v>
      </c>
      <c r="E69" s="15">
        <v>536</v>
      </c>
      <c r="F69" s="15">
        <v>1255</v>
      </c>
      <c r="G69" s="15">
        <v>411</v>
      </c>
    </row>
    <row r="70" spans="1:7" x14ac:dyDescent="0.2">
      <c r="A70" s="14" t="s">
        <v>238</v>
      </c>
      <c r="B70" s="16">
        <v>39778</v>
      </c>
      <c r="C70" s="16">
        <v>33453</v>
      </c>
      <c r="D70" s="16">
        <v>33707</v>
      </c>
      <c r="E70" s="16">
        <v>33643</v>
      </c>
      <c r="F70" s="16">
        <v>35374</v>
      </c>
      <c r="G70" s="16">
        <v>27228</v>
      </c>
    </row>
    <row r="71" spans="1:7" x14ac:dyDescent="0.2">
      <c r="A71" s="5"/>
      <c r="B71" s="5"/>
      <c r="C71" s="5"/>
      <c r="D71" s="5"/>
      <c r="E71" s="5"/>
      <c r="F71" s="5"/>
      <c r="G71" s="5"/>
    </row>
    <row r="72" spans="1:7" x14ac:dyDescent="0.2">
      <c r="A72" s="5" t="s">
        <v>239</v>
      </c>
      <c r="B72" s="15">
        <v>490</v>
      </c>
      <c r="C72" s="15">
        <v>490</v>
      </c>
      <c r="D72" s="15">
        <v>484</v>
      </c>
      <c r="E72" s="15">
        <v>463</v>
      </c>
      <c r="F72" s="15">
        <v>445</v>
      </c>
      <c r="G72" s="15">
        <v>426</v>
      </c>
    </row>
    <row r="73" spans="1:7" x14ac:dyDescent="0.2">
      <c r="A73" s="5" t="s">
        <v>240</v>
      </c>
      <c r="B73" s="15">
        <v>5165</v>
      </c>
      <c r="C73" s="15">
        <v>5165</v>
      </c>
      <c r="D73" s="15">
        <v>5165</v>
      </c>
      <c r="E73" s="15">
        <v>5165</v>
      </c>
      <c r="F73" s="15">
        <v>5165</v>
      </c>
      <c r="G73" s="15">
        <v>5165</v>
      </c>
    </row>
    <row r="74" spans="1:7" x14ac:dyDescent="0.2">
      <c r="A74" s="5" t="s">
        <v>241</v>
      </c>
      <c r="B74" s="15">
        <v>4078</v>
      </c>
      <c r="C74" s="15">
        <v>3239</v>
      </c>
      <c r="D74" s="15">
        <v>6932</v>
      </c>
      <c r="E74" s="15">
        <v>3469</v>
      </c>
      <c r="F74" s="15">
        <v>2930</v>
      </c>
      <c r="G74" s="15">
        <v>2935</v>
      </c>
    </row>
    <row r="75" spans="1:7" x14ac:dyDescent="0.2">
      <c r="A75" s="5" t="s">
        <v>242</v>
      </c>
      <c r="B75" s="15">
        <v>-250</v>
      </c>
      <c r="C75" s="15">
        <v>-188</v>
      </c>
      <c r="D75" s="15">
        <v>-365</v>
      </c>
      <c r="E75" s="15">
        <v>-359</v>
      </c>
      <c r="F75" s="15">
        <v>-315</v>
      </c>
      <c r="G75" s="15">
        <v>-280</v>
      </c>
    </row>
    <row r="76" spans="1:7" x14ac:dyDescent="0.2">
      <c r="A76" s="5" t="s">
        <v>243</v>
      </c>
      <c r="B76" s="15">
        <v>3908</v>
      </c>
      <c r="C76" s="15">
        <v>3371</v>
      </c>
      <c r="D76" s="15">
        <v>3444</v>
      </c>
      <c r="E76" s="15">
        <v>3498</v>
      </c>
      <c r="F76" s="15">
        <v>3446</v>
      </c>
      <c r="G76" s="15">
        <v>3420</v>
      </c>
    </row>
    <row r="77" spans="1:7" x14ac:dyDescent="0.2">
      <c r="A77" s="14" t="s">
        <v>244</v>
      </c>
      <c r="B77" s="16">
        <v>13391</v>
      </c>
      <c r="C77" s="16">
        <v>12077</v>
      </c>
      <c r="D77" s="16">
        <v>15660</v>
      </c>
      <c r="E77" s="16">
        <v>12236</v>
      </c>
      <c r="F77" s="16">
        <v>11671</v>
      </c>
      <c r="G77" s="16">
        <v>11666</v>
      </c>
    </row>
    <row r="78" spans="1:7" x14ac:dyDescent="0.2">
      <c r="A78" s="5"/>
      <c r="B78" s="5"/>
      <c r="C78" s="5"/>
      <c r="D78" s="5"/>
      <c r="E78" s="5"/>
      <c r="F78" s="5"/>
      <c r="G78" s="5"/>
    </row>
    <row r="79" spans="1:7" x14ac:dyDescent="0.2">
      <c r="A79" s="5" t="s">
        <v>245</v>
      </c>
      <c r="B79" s="15">
        <v>-22</v>
      </c>
      <c r="C79" s="15">
        <v>-18</v>
      </c>
      <c r="D79" s="15">
        <v>-16</v>
      </c>
      <c r="E79" s="15">
        <v>-11</v>
      </c>
      <c r="F79" s="15">
        <v>-6</v>
      </c>
      <c r="G79" s="15">
        <v>-4</v>
      </c>
    </row>
    <row r="80" spans="1:7" x14ac:dyDescent="0.2">
      <c r="A80" s="5"/>
      <c r="B80" s="5"/>
      <c r="C80" s="5"/>
      <c r="D80" s="5"/>
      <c r="E80" s="5"/>
      <c r="F80" s="5"/>
      <c r="G80" s="5"/>
    </row>
    <row r="81" spans="1:7" x14ac:dyDescent="0.2">
      <c r="A81" s="14" t="s">
        <v>246</v>
      </c>
      <c r="B81" s="48">
        <v>13369</v>
      </c>
      <c r="C81" s="48">
        <v>12059</v>
      </c>
      <c r="D81" s="48">
        <v>15644</v>
      </c>
      <c r="E81" s="48">
        <v>12225</v>
      </c>
      <c r="F81" s="48">
        <v>11665</v>
      </c>
      <c r="G81" s="48">
        <v>11662</v>
      </c>
    </row>
    <row r="82" spans="1:7" x14ac:dyDescent="0.2">
      <c r="A82" s="5"/>
      <c r="B82" s="5"/>
      <c r="C82" s="5"/>
      <c r="D82" s="5"/>
      <c r="E82" s="5"/>
      <c r="F82" s="5"/>
      <c r="G82" s="5"/>
    </row>
    <row r="83" spans="1:7" x14ac:dyDescent="0.2">
      <c r="A83" s="14" t="s">
        <v>247</v>
      </c>
      <c r="B83" s="49">
        <v>53147</v>
      </c>
      <c r="C83" s="49">
        <v>45512</v>
      </c>
      <c r="D83" s="49">
        <v>49351</v>
      </c>
      <c r="E83" s="49">
        <v>45868</v>
      </c>
      <c r="F83" s="49">
        <v>47039</v>
      </c>
      <c r="G83" s="49">
        <v>38890</v>
      </c>
    </row>
    <row r="84" spans="1:7" x14ac:dyDescent="0.2">
      <c r="A84" s="5"/>
      <c r="B84" s="5"/>
      <c r="C84" s="5"/>
      <c r="D84" s="5"/>
      <c r="E84" s="5"/>
      <c r="F84" s="5"/>
      <c r="G84" s="5"/>
    </row>
    <row r="85" spans="1:7" x14ac:dyDescent="0.2">
      <c r="A85" s="14" t="s">
        <v>147</v>
      </c>
      <c r="B85" s="5"/>
      <c r="C85" s="5"/>
      <c r="D85" s="5"/>
      <c r="E85" s="5"/>
      <c r="F85" s="5"/>
      <c r="G85" s="5"/>
    </row>
    <row r="86" spans="1:7" x14ac:dyDescent="0.2">
      <c r="A86" s="5" t="s">
        <v>248</v>
      </c>
      <c r="B86" s="15">
        <v>7671.3157490000003</v>
      </c>
      <c r="C86" s="15">
        <v>7673.30782</v>
      </c>
      <c r="D86" s="15">
        <v>7588.0865309999999</v>
      </c>
      <c r="E86" s="15">
        <v>7262.7411949999996</v>
      </c>
      <c r="F86" s="15">
        <v>6968.9304400000001</v>
      </c>
      <c r="G86" s="15">
        <v>6699.7417619999997</v>
      </c>
    </row>
    <row r="87" spans="1:7" x14ac:dyDescent="0.2">
      <c r="A87" s="5" t="s">
        <v>249</v>
      </c>
      <c r="B87" s="15">
        <v>7671.3157490000003</v>
      </c>
      <c r="C87" s="15">
        <v>7673.30782</v>
      </c>
      <c r="D87" s="15">
        <v>7588.0865309999999</v>
      </c>
      <c r="E87" s="15">
        <v>7262.7411949999996</v>
      </c>
      <c r="F87" s="15">
        <v>6968.9304400000001</v>
      </c>
      <c r="G87" s="15">
        <v>6699.7417619999997</v>
      </c>
    </row>
    <row r="88" spans="1:7" x14ac:dyDescent="0.2">
      <c r="A88" s="5" t="s">
        <v>250</v>
      </c>
      <c r="B88" s="19">
        <v>1.745593</v>
      </c>
      <c r="C88" s="19">
        <v>1.5738970000000001</v>
      </c>
      <c r="D88" s="19">
        <v>2.063761</v>
      </c>
      <c r="E88" s="19">
        <v>1.684763</v>
      </c>
      <c r="F88" s="19">
        <v>1.6747179999999999</v>
      </c>
      <c r="G88" s="19">
        <v>1.7412609999999999</v>
      </c>
    </row>
    <row r="89" spans="1:7" x14ac:dyDescent="0.2">
      <c r="A89" s="5" t="s">
        <v>251</v>
      </c>
      <c r="B89" s="15">
        <v>7601</v>
      </c>
      <c r="C89" s="15">
        <v>6684</v>
      </c>
      <c r="D89" s="15">
        <v>10300</v>
      </c>
      <c r="E89" s="15">
        <v>6861</v>
      </c>
      <c r="F89" s="15">
        <v>6605</v>
      </c>
      <c r="G89" s="15">
        <v>6579</v>
      </c>
    </row>
    <row r="90" spans="1:7" x14ac:dyDescent="0.2">
      <c r="A90" s="5" t="s">
        <v>252</v>
      </c>
      <c r="B90" s="19">
        <v>0.99083299999999996</v>
      </c>
      <c r="C90" s="19">
        <v>0.87107100000000004</v>
      </c>
      <c r="D90" s="19">
        <v>1.3573900000000001</v>
      </c>
      <c r="E90" s="19">
        <v>0.94468399999999997</v>
      </c>
      <c r="F90" s="19">
        <v>0.94777800000000001</v>
      </c>
      <c r="G90" s="19">
        <v>0.98197800000000002</v>
      </c>
    </row>
    <row r="91" spans="1:7" x14ac:dyDescent="0.2">
      <c r="A91" s="5" t="s">
        <v>253</v>
      </c>
      <c r="B91" s="15">
        <v>17790</v>
      </c>
      <c r="C91" s="15">
        <v>15670</v>
      </c>
      <c r="D91" s="15">
        <v>15357</v>
      </c>
      <c r="E91" s="15">
        <v>15078</v>
      </c>
      <c r="F91" s="15">
        <v>14841</v>
      </c>
      <c r="G91" s="15">
        <v>14666</v>
      </c>
    </row>
    <row r="92" spans="1:7" x14ac:dyDescent="0.2">
      <c r="A92" s="5" t="s">
        <v>254</v>
      </c>
      <c r="B92" s="15">
        <v>12577</v>
      </c>
      <c r="C92" s="15">
        <v>12149</v>
      </c>
      <c r="D92" s="15">
        <v>10710</v>
      </c>
      <c r="E92" s="15">
        <v>10632</v>
      </c>
      <c r="F92" s="15">
        <v>10167</v>
      </c>
      <c r="G92" s="15">
        <v>10037</v>
      </c>
    </row>
    <row r="93" spans="1:7" x14ac:dyDescent="0.2">
      <c r="A93" s="5" t="s">
        <v>255</v>
      </c>
      <c r="B93" s="15">
        <v>3085</v>
      </c>
      <c r="C93" s="15">
        <v>1222</v>
      </c>
      <c r="D93" s="15">
        <v>-2847</v>
      </c>
      <c r="E93" s="15">
        <v>391</v>
      </c>
      <c r="F93" s="15">
        <v>631</v>
      </c>
      <c r="G93" s="15">
        <v>248</v>
      </c>
    </row>
    <row r="94" spans="1:7" x14ac:dyDescent="0.2">
      <c r="A94" s="5" t="s">
        <v>256</v>
      </c>
      <c r="B94" s="15">
        <v>-88</v>
      </c>
      <c r="C94" s="15">
        <v>-24</v>
      </c>
      <c r="D94" s="15">
        <v>56</v>
      </c>
      <c r="E94" s="15">
        <v>24</v>
      </c>
      <c r="F94" s="15">
        <v>16</v>
      </c>
      <c r="G94" s="15">
        <v>-24</v>
      </c>
    </row>
    <row r="95" spans="1:7" x14ac:dyDescent="0.2">
      <c r="A95" s="5" t="s">
        <v>257</v>
      </c>
      <c r="B95" s="15">
        <v>-22</v>
      </c>
      <c r="C95" s="15">
        <v>-18</v>
      </c>
      <c r="D95" s="15">
        <v>-16</v>
      </c>
      <c r="E95" s="15">
        <v>-11</v>
      </c>
      <c r="F95" s="15">
        <v>-6</v>
      </c>
      <c r="G95" s="15">
        <v>-4</v>
      </c>
    </row>
    <row r="96" spans="1:7" x14ac:dyDescent="0.2">
      <c r="A96" s="5" t="s">
        <v>258</v>
      </c>
      <c r="B96" s="15">
        <v>71</v>
      </c>
      <c r="C96" s="15">
        <v>85</v>
      </c>
      <c r="D96" s="15">
        <v>86</v>
      </c>
      <c r="E96" s="15">
        <v>93</v>
      </c>
      <c r="F96" s="15">
        <v>102</v>
      </c>
      <c r="G96" s="15">
        <v>110</v>
      </c>
    </row>
    <row r="97" spans="1:38" ht="17" x14ac:dyDescent="0.2">
      <c r="A97" s="5" t="s">
        <v>259</v>
      </c>
      <c r="B97" s="23" t="s">
        <v>260</v>
      </c>
      <c r="C97" s="23" t="s">
        <v>260</v>
      </c>
      <c r="D97" s="23" t="s">
        <v>260</v>
      </c>
      <c r="E97" s="23" t="s">
        <v>260</v>
      </c>
      <c r="F97" s="23" t="s">
        <v>260</v>
      </c>
      <c r="G97" s="23" t="s">
        <v>260</v>
      </c>
    </row>
    <row r="98" spans="1:38" ht="17" x14ac:dyDescent="0.2">
      <c r="A98" s="5" t="s">
        <v>261</v>
      </c>
      <c r="B98" s="15" t="s">
        <v>27</v>
      </c>
      <c r="C98" s="15" t="s">
        <v>27</v>
      </c>
      <c r="D98" s="15" t="s">
        <v>27</v>
      </c>
      <c r="E98" s="15" t="s">
        <v>27</v>
      </c>
      <c r="F98" s="15" t="s">
        <v>27</v>
      </c>
      <c r="G98" s="15" t="s">
        <v>27</v>
      </c>
    </row>
    <row r="99" spans="1:38" ht="17" x14ac:dyDescent="0.2">
      <c r="A99" s="5" t="s">
        <v>262</v>
      </c>
      <c r="B99" s="15">
        <v>4</v>
      </c>
      <c r="C99" s="15">
        <v>3</v>
      </c>
      <c r="D99" s="15">
        <v>3</v>
      </c>
      <c r="E99" s="15" t="s">
        <v>27</v>
      </c>
      <c r="F99" s="15">
        <v>3</v>
      </c>
      <c r="G99" s="15">
        <v>3</v>
      </c>
    </row>
    <row r="100" spans="1:38" ht="17" x14ac:dyDescent="0.2">
      <c r="A100" s="5" t="s">
        <v>263</v>
      </c>
      <c r="B100" s="15">
        <v>2429</v>
      </c>
      <c r="C100" s="15">
        <v>2066</v>
      </c>
      <c r="D100" s="15">
        <v>2336</v>
      </c>
      <c r="E100" s="15" t="s">
        <v>27</v>
      </c>
      <c r="F100" s="15">
        <v>2632</v>
      </c>
      <c r="G100" s="15">
        <v>2765</v>
      </c>
    </row>
    <row r="101" spans="1:38" x14ac:dyDescent="0.2">
      <c r="A101" s="5" t="s">
        <v>264</v>
      </c>
      <c r="B101" s="15">
        <v>24780</v>
      </c>
      <c r="C101" s="15">
        <v>21576</v>
      </c>
      <c r="D101" s="15">
        <v>21880</v>
      </c>
      <c r="E101" s="15">
        <v>22541</v>
      </c>
      <c r="F101" s="15">
        <v>22966</v>
      </c>
      <c r="G101" s="15">
        <v>23094</v>
      </c>
    </row>
    <row r="102" spans="1:38" x14ac:dyDescent="0.2">
      <c r="A102" s="5" t="s">
        <v>265</v>
      </c>
      <c r="B102" s="15">
        <v>6811</v>
      </c>
      <c r="C102" s="15">
        <v>5533</v>
      </c>
      <c r="D102" s="15">
        <v>5437</v>
      </c>
      <c r="E102" s="15">
        <v>5566</v>
      </c>
      <c r="F102" s="15">
        <v>6130</v>
      </c>
      <c r="G102" s="15">
        <v>6323</v>
      </c>
    </row>
    <row r="103" spans="1:38" x14ac:dyDescent="0.2">
      <c r="A103" s="5" t="s">
        <v>266</v>
      </c>
      <c r="B103" s="15">
        <v>202</v>
      </c>
      <c r="C103" s="15">
        <v>287</v>
      </c>
      <c r="D103" s="15">
        <v>309</v>
      </c>
      <c r="E103" s="15">
        <v>387</v>
      </c>
      <c r="F103" s="15">
        <v>0</v>
      </c>
      <c r="G103" s="15">
        <v>0</v>
      </c>
    </row>
    <row r="104" spans="1:38" x14ac:dyDescent="0.2">
      <c r="A104" s="5" t="s">
        <v>267</v>
      </c>
      <c r="B104" s="50">
        <v>405506</v>
      </c>
      <c r="C104" s="50">
        <v>300000</v>
      </c>
      <c r="D104" s="50">
        <v>345000</v>
      </c>
      <c r="E104" s="50">
        <v>330000</v>
      </c>
      <c r="F104" s="50">
        <v>330000</v>
      </c>
      <c r="G104" s="50">
        <v>340000</v>
      </c>
    </row>
    <row r="105" spans="1:38" ht="17" x14ac:dyDescent="0.2">
      <c r="A105" s="5" t="s">
        <v>268</v>
      </c>
      <c r="B105" s="15" t="s">
        <v>27</v>
      </c>
      <c r="C105" s="15" t="s">
        <v>27</v>
      </c>
      <c r="D105" s="15" t="s">
        <v>27</v>
      </c>
      <c r="E105" s="15" t="s">
        <v>27</v>
      </c>
      <c r="F105" s="15" t="s">
        <v>27</v>
      </c>
      <c r="G105" s="15" t="s">
        <v>27</v>
      </c>
    </row>
    <row r="106" spans="1:38" ht="17" x14ac:dyDescent="0.2">
      <c r="A106" s="5" t="s">
        <v>269</v>
      </c>
      <c r="B106" s="15" t="s">
        <v>27</v>
      </c>
      <c r="C106" s="15" t="s">
        <v>27</v>
      </c>
      <c r="D106" s="15" t="s">
        <v>27</v>
      </c>
      <c r="E106" s="15" t="s">
        <v>27</v>
      </c>
      <c r="F106" s="15" t="s">
        <v>27</v>
      </c>
      <c r="G106" s="15" t="s">
        <v>27</v>
      </c>
    </row>
    <row r="107" spans="1:38" ht="17" x14ac:dyDescent="0.2">
      <c r="A107" s="5" t="s">
        <v>270</v>
      </c>
      <c r="B107" s="15" t="s">
        <v>27</v>
      </c>
      <c r="C107" s="15" t="s">
        <v>27</v>
      </c>
      <c r="D107" s="15" t="s">
        <v>27</v>
      </c>
      <c r="E107" s="15" t="s">
        <v>27</v>
      </c>
      <c r="F107" s="15" t="s">
        <v>27</v>
      </c>
      <c r="G107" s="15" t="s">
        <v>27</v>
      </c>
    </row>
    <row r="108" spans="1:38" x14ac:dyDescent="0.2">
      <c r="A108" s="5" t="s">
        <v>162</v>
      </c>
      <c r="B108" s="22">
        <v>44300</v>
      </c>
      <c r="C108" s="22">
        <v>44678</v>
      </c>
      <c r="D108" s="22">
        <v>45058</v>
      </c>
      <c r="E108" s="22">
        <v>45422</v>
      </c>
      <c r="F108" s="22">
        <v>45779</v>
      </c>
      <c r="G108" s="22">
        <v>45779</v>
      </c>
    </row>
    <row r="109" spans="1:38" ht="17" x14ac:dyDescent="0.2">
      <c r="A109" s="5" t="s">
        <v>163</v>
      </c>
      <c r="B109" s="23" t="s">
        <v>166</v>
      </c>
      <c r="C109" s="23" t="s">
        <v>166</v>
      </c>
      <c r="D109" s="23" t="s">
        <v>165</v>
      </c>
      <c r="E109" s="23" t="s">
        <v>166</v>
      </c>
      <c r="F109" s="23" t="s">
        <v>165</v>
      </c>
      <c r="G109" s="23" t="s">
        <v>164</v>
      </c>
    </row>
    <row r="110" spans="1:38" ht="17" x14ac:dyDescent="0.2">
      <c r="A110" s="5" t="s">
        <v>169</v>
      </c>
      <c r="B110" s="23" t="s">
        <v>170</v>
      </c>
      <c r="C110" s="23" t="s">
        <v>170</v>
      </c>
      <c r="D110" s="23" t="s">
        <v>170</v>
      </c>
      <c r="E110" s="23" t="s">
        <v>170</v>
      </c>
      <c r="F110" s="23" t="s">
        <v>170</v>
      </c>
      <c r="G110" s="23" t="s">
        <v>170</v>
      </c>
    </row>
    <row r="111" spans="1:38" x14ac:dyDescent="0.2">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row>
    <row r="112" spans="1:38" x14ac:dyDescent="0.2">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row>
    <row r="113" spans="1:1" x14ac:dyDescent="0.2">
      <c r="A113" s="2" t="s">
        <v>271</v>
      </c>
    </row>
    <row r="114" spans="1:1" x14ac:dyDescent="0.2">
      <c r="A114" s="26" t="s">
        <v>184</v>
      </c>
    </row>
    <row r="115" spans="1:1" x14ac:dyDescent="0.2">
      <c r="A115" s="27" t="s">
        <v>73</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9834A-9CAD-A04F-A987-ED7142AC7F6E}">
  <dimension ref="A5:HO94"/>
  <sheetViews>
    <sheetView topLeftCell="A51" zoomScale="125" zoomScaleNormal="125" workbookViewId="0">
      <selection activeCell="A64" sqref="A64"/>
    </sheetView>
  </sheetViews>
  <sheetFormatPr baseColWidth="10" defaultRowHeight="16" x14ac:dyDescent="0.2"/>
  <cols>
    <col min="1" max="1" width="45.83203125" style="2" customWidth="1"/>
    <col min="2" max="38" width="14.83203125" style="2" customWidth="1"/>
    <col min="39" max="256" width="8.83203125" style="2" customWidth="1"/>
    <col min="257" max="257" width="45.83203125" style="2" customWidth="1"/>
    <col min="258" max="294" width="14.83203125" style="2" customWidth="1"/>
    <col min="295" max="512" width="8.83203125" style="2" customWidth="1"/>
    <col min="513" max="513" width="45.83203125" style="2" customWidth="1"/>
    <col min="514" max="550" width="14.83203125" style="2" customWidth="1"/>
    <col min="551" max="768" width="8.83203125" style="2" customWidth="1"/>
    <col min="769" max="769" width="45.83203125" style="2" customWidth="1"/>
    <col min="770" max="806" width="14.83203125" style="2" customWidth="1"/>
    <col min="807" max="1024" width="8.83203125" style="2" customWidth="1"/>
    <col min="1025" max="1025" width="45.83203125" style="2" customWidth="1"/>
    <col min="1026" max="1062" width="14.83203125" style="2" customWidth="1"/>
    <col min="1063" max="1280" width="8.83203125" style="2" customWidth="1"/>
    <col min="1281" max="1281" width="45.83203125" style="2" customWidth="1"/>
    <col min="1282" max="1318" width="14.83203125" style="2" customWidth="1"/>
    <col min="1319" max="1536" width="8.83203125" style="2" customWidth="1"/>
    <col min="1537" max="1537" width="45.83203125" style="2" customWidth="1"/>
    <col min="1538" max="1574" width="14.83203125" style="2" customWidth="1"/>
    <col min="1575" max="1792" width="8.83203125" style="2" customWidth="1"/>
    <col min="1793" max="1793" width="45.83203125" style="2" customWidth="1"/>
    <col min="1794" max="1830" width="14.83203125" style="2" customWidth="1"/>
    <col min="1831" max="2048" width="8.83203125" style="2" customWidth="1"/>
    <col min="2049" max="2049" width="45.83203125" style="2" customWidth="1"/>
    <col min="2050" max="2086" width="14.83203125" style="2" customWidth="1"/>
    <col min="2087" max="2304" width="8.83203125" style="2" customWidth="1"/>
    <col min="2305" max="2305" width="45.83203125" style="2" customWidth="1"/>
    <col min="2306" max="2342" width="14.83203125" style="2" customWidth="1"/>
    <col min="2343" max="2560" width="8.83203125" style="2" customWidth="1"/>
    <col min="2561" max="2561" width="45.83203125" style="2" customWidth="1"/>
    <col min="2562" max="2598" width="14.83203125" style="2" customWidth="1"/>
    <col min="2599" max="2816" width="8.83203125" style="2" customWidth="1"/>
    <col min="2817" max="2817" width="45.83203125" style="2" customWidth="1"/>
    <col min="2818" max="2854" width="14.83203125" style="2" customWidth="1"/>
    <col min="2855" max="3072" width="8.83203125" style="2" customWidth="1"/>
    <col min="3073" max="3073" width="45.83203125" style="2" customWidth="1"/>
    <col min="3074" max="3110" width="14.83203125" style="2" customWidth="1"/>
    <col min="3111" max="3328" width="8.83203125" style="2" customWidth="1"/>
    <col min="3329" max="3329" width="45.83203125" style="2" customWidth="1"/>
    <col min="3330" max="3366" width="14.83203125" style="2" customWidth="1"/>
    <col min="3367" max="3584" width="8.83203125" style="2" customWidth="1"/>
    <col min="3585" max="3585" width="45.83203125" style="2" customWidth="1"/>
    <col min="3586" max="3622" width="14.83203125" style="2" customWidth="1"/>
    <col min="3623" max="3840" width="8.83203125" style="2" customWidth="1"/>
    <col min="3841" max="3841" width="45.83203125" style="2" customWidth="1"/>
    <col min="3842" max="3878" width="14.83203125" style="2" customWidth="1"/>
    <col min="3879" max="4096" width="8.83203125" style="2" customWidth="1"/>
    <col min="4097" max="4097" width="45.83203125" style="2" customWidth="1"/>
    <col min="4098" max="4134" width="14.83203125" style="2" customWidth="1"/>
    <col min="4135" max="4352" width="8.83203125" style="2" customWidth="1"/>
    <col min="4353" max="4353" width="45.83203125" style="2" customWidth="1"/>
    <col min="4354" max="4390" width="14.83203125" style="2" customWidth="1"/>
    <col min="4391" max="4608" width="8.83203125" style="2" customWidth="1"/>
    <col min="4609" max="4609" width="45.83203125" style="2" customWidth="1"/>
    <col min="4610" max="4646" width="14.83203125" style="2" customWidth="1"/>
    <col min="4647" max="4864" width="8.83203125" style="2" customWidth="1"/>
    <col min="4865" max="4865" width="45.83203125" style="2" customWidth="1"/>
    <col min="4866" max="4902" width="14.83203125" style="2" customWidth="1"/>
    <col min="4903" max="5120" width="8.83203125" style="2" customWidth="1"/>
    <col min="5121" max="5121" width="45.83203125" style="2" customWidth="1"/>
    <col min="5122" max="5158" width="14.83203125" style="2" customWidth="1"/>
    <col min="5159" max="5376" width="8.83203125" style="2" customWidth="1"/>
    <col min="5377" max="5377" width="45.83203125" style="2" customWidth="1"/>
    <col min="5378" max="5414" width="14.83203125" style="2" customWidth="1"/>
    <col min="5415" max="5632" width="8.83203125" style="2" customWidth="1"/>
    <col min="5633" max="5633" width="45.83203125" style="2" customWidth="1"/>
    <col min="5634" max="5670" width="14.83203125" style="2" customWidth="1"/>
    <col min="5671" max="5888" width="8.83203125" style="2" customWidth="1"/>
    <col min="5889" max="5889" width="45.83203125" style="2" customWidth="1"/>
    <col min="5890" max="5926" width="14.83203125" style="2" customWidth="1"/>
    <col min="5927" max="6144" width="8.83203125" style="2" customWidth="1"/>
    <col min="6145" max="6145" width="45.83203125" style="2" customWidth="1"/>
    <col min="6146" max="6182" width="14.83203125" style="2" customWidth="1"/>
    <col min="6183" max="6400" width="8.83203125" style="2" customWidth="1"/>
    <col min="6401" max="6401" width="45.83203125" style="2" customWidth="1"/>
    <col min="6402" max="6438" width="14.83203125" style="2" customWidth="1"/>
    <col min="6439" max="6656" width="8.83203125" style="2" customWidth="1"/>
    <col min="6657" max="6657" width="45.83203125" style="2" customWidth="1"/>
    <col min="6658" max="6694" width="14.83203125" style="2" customWidth="1"/>
    <col min="6695" max="6912" width="8.83203125" style="2" customWidth="1"/>
    <col min="6913" max="6913" width="45.83203125" style="2" customWidth="1"/>
    <col min="6914" max="6950" width="14.83203125" style="2" customWidth="1"/>
    <col min="6951" max="7168" width="8.83203125" style="2" customWidth="1"/>
    <col min="7169" max="7169" width="45.83203125" style="2" customWidth="1"/>
    <col min="7170" max="7206" width="14.83203125" style="2" customWidth="1"/>
    <col min="7207" max="7424" width="8.83203125" style="2" customWidth="1"/>
    <col min="7425" max="7425" width="45.83203125" style="2" customWidth="1"/>
    <col min="7426" max="7462" width="14.83203125" style="2" customWidth="1"/>
    <col min="7463" max="7680" width="8.83203125" style="2" customWidth="1"/>
    <col min="7681" max="7681" width="45.83203125" style="2" customWidth="1"/>
    <col min="7682" max="7718" width="14.83203125" style="2" customWidth="1"/>
    <col min="7719" max="7936" width="8.83203125" style="2" customWidth="1"/>
    <col min="7937" max="7937" width="45.83203125" style="2" customWidth="1"/>
    <col min="7938" max="7974" width="14.83203125" style="2" customWidth="1"/>
    <col min="7975" max="8192" width="8.83203125" style="2" customWidth="1"/>
    <col min="8193" max="8193" width="45.83203125" style="2" customWidth="1"/>
    <col min="8194" max="8230" width="14.83203125" style="2" customWidth="1"/>
    <col min="8231" max="8448" width="8.83203125" style="2" customWidth="1"/>
    <col min="8449" max="8449" width="45.83203125" style="2" customWidth="1"/>
    <col min="8450" max="8486" width="14.83203125" style="2" customWidth="1"/>
    <col min="8487" max="8704" width="8.83203125" style="2" customWidth="1"/>
    <col min="8705" max="8705" width="45.83203125" style="2" customWidth="1"/>
    <col min="8706" max="8742" width="14.83203125" style="2" customWidth="1"/>
    <col min="8743" max="8960" width="8.83203125" style="2" customWidth="1"/>
    <col min="8961" max="8961" width="45.83203125" style="2" customWidth="1"/>
    <col min="8962" max="8998" width="14.83203125" style="2" customWidth="1"/>
    <col min="8999" max="9216" width="8.83203125" style="2" customWidth="1"/>
    <col min="9217" max="9217" width="45.83203125" style="2" customWidth="1"/>
    <col min="9218" max="9254" width="14.83203125" style="2" customWidth="1"/>
    <col min="9255" max="9472" width="8.83203125" style="2" customWidth="1"/>
    <col min="9473" max="9473" width="45.83203125" style="2" customWidth="1"/>
    <col min="9474" max="9510" width="14.83203125" style="2" customWidth="1"/>
    <col min="9511" max="9728" width="8.83203125" style="2" customWidth="1"/>
    <col min="9729" max="9729" width="45.83203125" style="2" customWidth="1"/>
    <col min="9730" max="9766" width="14.83203125" style="2" customWidth="1"/>
    <col min="9767" max="9984" width="8.83203125" style="2" customWidth="1"/>
    <col min="9985" max="9985" width="45.83203125" style="2" customWidth="1"/>
    <col min="9986" max="10022" width="14.83203125" style="2" customWidth="1"/>
    <col min="10023" max="10240" width="8.83203125" style="2" customWidth="1"/>
    <col min="10241" max="10241" width="45.83203125" style="2" customWidth="1"/>
    <col min="10242" max="10278" width="14.83203125" style="2" customWidth="1"/>
    <col min="10279" max="10496" width="8.83203125" style="2" customWidth="1"/>
    <col min="10497" max="10497" width="45.83203125" style="2" customWidth="1"/>
    <col min="10498" max="10534" width="14.83203125" style="2" customWidth="1"/>
    <col min="10535" max="10752" width="8.83203125" style="2" customWidth="1"/>
    <col min="10753" max="10753" width="45.83203125" style="2" customWidth="1"/>
    <col min="10754" max="10790" width="14.83203125" style="2" customWidth="1"/>
    <col min="10791" max="11008" width="8.83203125" style="2" customWidth="1"/>
    <col min="11009" max="11009" width="45.83203125" style="2" customWidth="1"/>
    <col min="11010" max="11046" width="14.83203125" style="2" customWidth="1"/>
    <col min="11047" max="11264" width="8.83203125" style="2" customWidth="1"/>
    <col min="11265" max="11265" width="45.83203125" style="2" customWidth="1"/>
    <col min="11266" max="11302" width="14.83203125" style="2" customWidth="1"/>
    <col min="11303" max="11520" width="8.83203125" style="2" customWidth="1"/>
    <col min="11521" max="11521" width="45.83203125" style="2" customWidth="1"/>
    <col min="11522" max="11558" width="14.83203125" style="2" customWidth="1"/>
    <col min="11559" max="11776" width="8.83203125" style="2" customWidth="1"/>
    <col min="11777" max="11777" width="45.83203125" style="2" customWidth="1"/>
    <col min="11778" max="11814" width="14.83203125" style="2" customWidth="1"/>
    <col min="11815" max="12032" width="8.83203125" style="2" customWidth="1"/>
    <col min="12033" max="12033" width="45.83203125" style="2" customWidth="1"/>
    <col min="12034" max="12070" width="14.83203125" style="2" customWidth="1"/>
    <col min="12071" max="12288" width="8.83203125" style="2" customWidth="1"/>
    <col min="12289" max="12289" width="45.83203125" style="2" customWidth="1"/>
    <col min="12290" max="12326" width="14.83203125" style="2" customWidth="1"/>
    <col min="12327" max="12544" width="8.83203125" style="2" customWidth="1"/>
    <col min="12545" max="12545" width="45.83203125" style="2" customWidth="1"/>
    <col min="12546" max="12582" width="14.83203125" style="2" customWidth="1"/>
    <col min="12583" max="12800" width="8.83203125" style="2" customWidth="1"/>
    <col min="12801" max="12801" width="45.83203125" style="2" customWidth="1"/>
    <col min="12802" max="12838" width="14.83203125" style="2" customWidth="1"/>
    <col min="12839" max="13056" width="8.83203125" style="2" customWidth="1"/>
    <col min="13057" max="13057" width="45.83203125" style="2" customWidth="1"/>
    <col min="13058" max="13094" width="14.83203125" style="2" customWidth="1"/>
    <col min="13095" max="13312" width="8.83203125" style="2" customWidth="1"/>
    <col min="13313" max="13313" width="45.83203125" style="2" customWidth="1"/>
    <col min="13314" max="13350" width="14.83203125" style="2" customWidth="1"/>
    <col min="13351" max="13568" width="8.83203125" style="2" customWidth="1"/>
    <col min="13569" max="13569" width="45.83203125" style="2" customWidth="1"/>
    <col min="13570" max="13606" width="14.83203125" style="2" customWidth="1"/>
    <col min="13607" max="13824" width="8.83203125" style="2" customWidth="1"/>
    <col min="13825" max="13825" width="45.83203125" style="2" customWidth="1"/>
    <col min="13826" max="13862" width="14.83203125" style="2" customWidth="1"/>
    <col min="13863" max="14080" width="8.83203125" style="2" customWidth="1"/>
    <col min="14081" max="14081" width="45.83203125" style="2" customWidth="1"/>
    <col min="14082" max="14118" width="14.83203125" style="2" customWidth="1"/>
    <col min="14119" max="14336" width="8.83203125" style="2" customWidth="1"/>
    <col min="14337" max="14337" width="45.83203125" style="2" customWidth="1"/>
    <col min="14338" max="14374" width="14.83203125" style="2" customWidth="1"/>
    <col min="14375" max="14592" width="8.83203125" style="2" customWidth="1"/>
    <col min="14593" max="14593" width="45.83203125" style="2" customWidth="1"/>
    <col min="14594" max="14630" width="14.83203125" style="2" customWidth="1"/>
    <col min="14631" max="14848" width="8.83203125" style="2" customWidth="1"/>
    <col min="14849" max="14849" width="45.83203125" style="2" customWidth="1"/>
    <col min="14850" max="14886" width="14.83203125" style="2" customWidth="1"/>
    <col min="14887" max="15104" width="8.83203125" style="2" customWidth="1"/>
    <col min="15105" max="15105" width="45.83203125" style="2" customWidth="1"/>
    <col min="15106" max="15142" width="14.83203125" style="2" customWidth="1"/>
    <col min="15143" max="15360" width="8.83203125" style="2" customWidth="1"/>
    <col min="15361" max="15361" width="45.83203125" style="2" customWidth="1"/>
    <col min="15362" max="15398" width="14.83203125" style="2" customWidth="1"/>
    <col min="15399" max="15616" width="8.83203125" style="2" customWidth="1"/>
    <col min="15617" max="15617" width="45.83203125" style="2" customWidth="1"/>
    <col min="15618" max="15654" width="14.83203125" style="2" customWidth="1"/>
    <col min="15655" max="15872" width="8.83203125" style="2" customWidth="1"/>
    <col min="15873" max="15873" width="45.83203125" style="2" customWidth="1"/>
    <col min="15874" max="15910" width="14.83203125" style="2" customWidth="1"/>
    <col min="15911" max="16128" width="8.83203125" style="2" customWidth="1"/>
    <col min="16129" max="16129" width="45.83203125" style="2" customWidth="1"/>
    <col min="16130" max="16166" width="14.83203125" style="2" customWidth="1"/>
    <col min="16167" max="16384" width="8.83203125" style="2" customWidth="1"/>
  </cols>
  <sheetData>
    <row r="5" spans="1:223" x14ac:dyDescent="0.2">
      <c r="A5" s="1" t="s">
        <v>272</v>
      </c>
    </row>
    <row r="7" spans="1:223" ht="34" x14ac:dyDescent="0.2">
      <c r="A7" s="3" t="s">
        <v>75</v>
      </c>
      <c r="B7" s="4" t="s">
        <v>76</v>
      </c>
      <c r="C7" s="2" t="s">
        <v>77</v>
      </c>
      <c r="D7" s="5" t="s">
        <v>4</v>
      </c>
      <c r="E7" s="4" t="s">
        <v>78</v>
      </c>
      <c r="F7" s="2" t="s">
        <v>79</v>
      </c>
    </row>
    <row r="8" spans="1:223" x14ac:dyDescent="0.2">
      <c r="A8" s="5"/>
      <c r="B8" s="4" t="s">
        <v>80</v>
      </c>
      <c r="C8" s="2" t="s">
        <v>81</v>
      </c>
      <c r="D8" s="5" t="s">
        <v>4</v>
      </c>
      <c r="E8" s="4" t="s">
        <v>7</v>
      </c>
      <c r="F8" s="2" t="s">
        <v>8</v>
      </c>
    </row>
    <row r="9" spans="1:223" x14ac:dyDescent="0.2">
      <c r="A9" s="5"/>
      <c r="B9" s="4" t="s">
        <v>2</v>
      </c>
      <c r="C9" s="2" t="s">
        <v>82</v>
      </c>
      <c r="D9" s="5" t="s">
        <v>4</v>
      </c>
      <c r="E9" s="4" t="s">
        <v>5</v>
      </c>
      <c r="F9" s="2" t="s">
        <v>6</v>
      </c>
    </row>
    <row r="10" spans="1:223" x14ac:dyDescent="0.2">
      <c r="A10" s="5"/>
      <c r="B10" s="4" t="s">
        <v>9</v>
      </c>
      <c r="C10" s="2" t="s">
        <v>10</v>
      </c>
      <c r="D10" s="5" t="s">
        <v>4</v>
      </c>
      <c r="E10" s="4" t="s">
        <v>11</v>
      </c>
      <c r="F10" s="6" t="s">
        <v>12</v>
      </c>
    </row>
    <row r="11" spans="1:223" x14ac:dyDescent="0.2">
      <c r="A11" s="5"/>
      <c r="B11" s="4" t="s">
        <v>83</v>
      </c>
      <c r="C11" s="2" t="s">
        <v>84</v>
      </c>
      <c r="D11" s="5" t="s">
        <v>4</v>
      </c>
      <c r="E11" s="7"/>
      <c r="F11" s="7"/>
    </row>
    <row r="14" spans="1:223" x14ac:dyDescent="0.2">
      <c r="A14" s="8" t="s">
        <v>273</v>
      </c>
      <c r="B14" s="8"/>
      <c r="C14" s="8"/>
      <c r="D14" s="8"/>
      <c r="E14" s="8"/>
      <c r="F14" s="8"/>
      <c r="G14" s="8"/>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9"/>
      <c r="FN14" s="9"/>
      <c r="FO14" s="9"/>
      <c r="FP14" s="9"/>
      <c r="FQ14" s="9"/>
      <c r="FR14" s="9"/>
      <c r="FS14" s="9"/>
      <c r="FT14" s="9"/>
      <c r="FU14" s="9"/>
      <c r="FV14" s="9"/>
      <c r="FW14" s="9"/>
      <c r="FX14" s="9"/>
      <c r="FY14" s="9"/>
      <c r="FZ14" s="9"/>
      <c r="GA14" s="9"/>
      <c r="GB14" s="9"/>
      <c r="GC14" s="9"/>
      <c r="GD14" s="9"/>
      <c r="GE14" s="9"/>
      <c r="GF14" s="9"/>
      <c r="GG14" s="9"/>
      <c r="GH14" s="9"/>
      <c r="GI14" s="9"/>
      <c r="GJ14" s="9"/>
      <c r="GK14" s="9"/>
      <c r="GL14" s="9"/>
      <c r="GM14" s="9"/>
      <c r="GN14" s="9"/>
      <c r="GO14" s="9"/>
      <c r="GP14" s="9"/>
      <c r="GQ14" s="9"/>
      <c r="GR14" s="9"/>
      <c r="GS14" s="9"/>
      <c r="GT14" s="9"/>
      <c r="GU14" s="9"/>
      <c r="GV14" s="9"/>
      <c r="GW14" s="9"/>
      <c r="GX14" s="9"/>
      <c r="GY14" s="9"/>
      <c r="GZ14" s="9"/>
      <c r="HA14" s="9"/>
      <c r="HB14" s="9"/>
      <c r="HC14" s="9"/>
      <c r="HD14" s="9"/>
      <c r="HE14" s="9"/>
      <c r="HF14" s="9"/>
      <c r="HG14" s="9"/>
      <c r="HH14" s="9"/>
      <c r="HI14" s="9"/>
      <c r="HJ14" s="9"/>
      <c r="HK14" s="9"/>
      <c r="HL14" s="9"/>
      <c r="HM14" s="9"/>
      <c r="HN14" s="9"/>
      <c r="HO14" s="9"/>
    </row>
    <row r="15" spans="1:223" ht="51" x14ac:dyDescent="0.2">
      <c r="A15" s="10" t="s">
        <v>16</v>
      </c>
      <c r="B15" s="11" t="s">
        <v>274</v>
      </c>
      <c r="C15" s="11" t="s">
        <v>87</v>
      </c>
      <c r="D15" s="11" t="s">
        <v>275</v>
      </c>
      <c r="E15" s="11" t="s">
        <v>89</v>
      </c>
      <c r="F15" s="11" t="s">
        <v>276</v>
      </c>
      <c r="G15" s="11" t="s">
        <v>91</v>
      </c>
    </row>
    <row r="16" spans="1:223" ht="17" x14ac:dyDescent="0.2">
      <c r="A16" s="12" t="s">
        <v>23</v>
      </c>
      <c r="B16" s="13" t="s">
        <v>24</v>
      </c>
      <c r="C16" s="13" t="s">
        <v>24</v>
      </c>
      <c r="D16" s="13" t="s">
        <v>24</v>
      </c>
      <c r="E16" s="13" t="s">
        <v>24</v>
      </c>
      <c r="F16" s="13" t="s">
        <v>24</v>
      </c>
      <c r="G16" s="13" t="s">
        <v>24</v>
      </c>
    </row>
    <row r="17" spans="1:7" x14ac:dyDescent="0.2">
      <c r="A17" s="14" t="s">
        <v>37</v>
      </c>
      <c r="B17" s="5"/>
      <c r="C17" s="5"/>
      <c r="D17" s="5"/>
      <c r="E17" s="5"/>
      <c r="F17" s="5"/>
      <c r="G17" s="5"/>
    </row>
    <row r="18" spans="1:7" x14ac:dyDescent="0.2">
      <c r="A18" s="190" t="s">
        <v>33</v>
      </c>
      <c r="B18" s="191">
        <v>971</v>
      </c>
      <c r="C18" s="191">
        <v>5954</v>
      </c>
      <c r="D18" s="191">
        <v>1481</v>
      </c>
      <c r="E18" s="191">
        <v>737</v>
      </c>
      <c r="F18" s="191">
        <v>1188</v>
      </c>
      <c r="G18" s="191">
        <v>1626</v>
      </c>
    </row>
    <row r="19" spans="1:7" x14ac:dyDescent="0.2">
      <c r="A19" s="192" t="s">
        <v>104</v>
      </c>
      <c r="B19" s="193">
        <v>1450</v>
      </c>
      <c r="C19" s="193">
        <v>1466</v>
      </c>
      <c r="D19" s="193">
        <v>1431</v>
      </c>
      <c r="E19" s="193">
        <v>1418</v>
      </c>
      <c r="F19" s="193">
        <v>1439</v>
      </c>
      <c r="G19" s="193">
        <v>1488</v>
      </c>
    </row>
    <row r="20" spans="1:7" x14ac:dyDescent="0.2">
      <c r="A20" s="192" t="s">
        <v>105</v>
      </c>
      <c r="B20" s="193">
        <v>359</v>
      </c>
      <c r="C20" s="193">
        <v>80</v>
      </c>
      <c r="D20" s="193">
        <v>78</v>
      </c>
      <c r="E20" s="193">
        <v>247</v>
      </c>
      <c r="F20" s="193">
        <v>255</v>
      </c>
      <c r="G20" s="193">
        <v>287</v>
      </c>
    </row>
    <row r="21" spans="1:7" x14ac:dyDescent="0.2">
      <c r="A21" s="190" t="s">
        <v>277</v>
      </c>
      <c r="B21" s="194">
        <v>1809</v>
      </c>
      <c r="C21" s="194">
        <v>1546</v>
      </c>
      <c r="D21" s="194">
        <v>1509</v>
      </c>
      <c r="E21" s="194">
        <v>1665</v>
      </c>
      <c r="F21" s="194">
        <v>1694</v>
      </c>
      <c r="G21" s="194">
        <v>1775</v>
      </c>
    </row>
    <row r="22" spans="1:7" x14ac:dyDescent="0.2">
      <c r="A22" s="192"/>
      <c r="B22" s="192"/>
      <c r="C22" s="192"/>
      <c r="D22" s="192"/>
      <c r="E22" s="192"/>
      <c r="F22" s="192"/>
      <c r="G22" s="192"/>
    </row>
    <row r="23" spans="1:7" x14ac:dyDescent="0.2">
      <c r="A23" s="192" t="s">
        <v>278</v>
      </c>
      <c r="B23" s="193">
        <v>0</v>
      </c>
      <c r="C23" s="193">
        <v>198</v>
      </c>
      <c r="D23" s="193">
        <v>209</v>
      </c>
      <c r="E23" s="193">
        <v>0</v>
      </c>
      <c r="F23" s="193">
        <v>0</v>
      </c>
      <c r="G23" s="193">
        <v>0</v>
      </c>
    </row>
    <row r="24" spans="1:7" x14ac:dyDescent="0.2">
      <c r="A24" s="192" t="s">
        <v>279</v>
      </c>
      <c r="B24" s="193">
        <v>-170</v>
      </c>
      <c r="C24" s="193">
        <v>-28</v>
      </c>
      <c r="D24" s="193">
        <v>-120</v>
      </c>
      <c r="E24" s="193">
        <v>-53</v>
      </c>
      <c r="F24" s="193">
        <v>655</v>
      </c>
      <c r="G24" s="193">
        <v>65</v>
      </c>
    </row>
    <row r="25" spans="1:7" x14ac:dyDescent="0.2">
      <c r="A25" s="192" t="s">
        <v>280</v>
      </c>
      <c r="B25" s="193">
        <v>-24</v>
      </c>
      <c r="C25" s="193">
        <v>0</v>
      </c>
      <c r="D25" s="193">
        <v>-25</v>
      </c>
      <c r="E25" s="193">
        <v>3</v>
      </c>
      <c r="F25" s="193">
        <v>-9</v>
      </c>
      <c r="G25" s="193">
        <v>10</v>
      </c>
    </row>
    <row r="26" spans="1:7" x14ac:dyDescent="0.2">
      <c r="A26" s="192" t="s">
        <v>281</v>
      </c>
      <c r="B26" s="193">
        <v>302</v>
      </c>
      <c r="C26" s="193">
        <v>206</v>
      </c>
      <c r="D26" s="193">
        <v>115</v>
      </c>
      <c r="E26" s="193">
        <v>982</v>
      </c>
      <c r="F26" s="193">
        <v>43</v>
      </c>
      <c r="G26" s="193">
        <v>307</v>
      </c>
    </row>
    <row r="27" spans="1:7" x14ac:dyDescent="0.2">
      <c r="A27" s="192" t="s">
        <v>282</v>
      </c>
      <c r="B27" s="193">
        <v>0</v>
      </c>
      <c r="C27" s="193">
        <v>0</v>
      </c>
      <c r="D27" s="193">
        <v>0</v>
      </c>
      <c r="E27" s="193">
        <v>0</v>
      </c>
      <c r="F27" s="193">
        <v>0</v>
      </c>
      <c r="G27" s="193">
        <v>0</v>
      </c>
    </row>
    <row r="28" spans="1:7" x14ac:dyDescent="0.2">
      <c r="A28" s="192" t="s">
        <v>283</v>
      </c>
      <c r="B28" s="193">
        <v>0</v>
      </c>
      <c r="C28" s="193">
        <v>0</v>
      </c>
      <c r="D28" s="193">
        <v>0</v>
      </c>
      <c r="E28" s="193">
        <v>0</v>
      </c>
      <c r="F28" s="193">
        <v>0</v>
      </c>
      <c r="G28" s="193">
        <v>0</v>
      </c>
    </row>
    <row r="29" spans="1:7" x14ac:dyDescent="0.2">
      <c r="A29" s="192" t="s">
        <v>284</v>
      </c>
      <c r="B29" s="193">
        <v>87</v>
      </c>
      <c r="C29" s="193">
        <v>30</v>
      </c>
      <c r="D29" s="193">
        <v>66</v>
      </c>
      <c r="E29" s="193">
        <v>59</v>
      </c>
      <c r="F29" s="193">
        <v>78</v>
      </c>
      <c r="G29" s="193">
        <v>37</v>
      </c>
    </row>
    <row r="30" spans="1:7" x14ac:dyDescent="0.2">
      <c r="A30" s="192" t="s">
        <v>285</v>
      </c>
      <c r="B30" s="193">
        <v>660</v>
      </c>
      <c r="C30" s="193">
        <v>305</v>
      </c>
      <c r="D30" s="193">
        <v>-28</v>
      </c>
      <c r="E30" s="193">
        <v>133</v>
      </c>
      <c r="F30" s="193">
        <v>-630</v>
      </c>
      <c r="G30" s="193">
        <v>35</v>
      </c>
    </row>
    <row r="31" spans="1:7" x14ac:dyDescent="0.2">
      <c r="A31" s="192" t="s">
        <v>286</v>
      </c>
      <c r="B31" s="193">
        <v>-44</v>
      </c>
      <c r="C31" s="193">
        <v>-7855</v>
      </c>
      <c r="D31" s="193">
        <v>188</v>
      </c>
      <c r="E31" s="193">
        <v>-55</v>
      </c>
      <c r="F31" s="193">
        <v>557</v>
      </c>
      <c r="G31" s="193">
        <v>-80</v>
      </c>
    </row>
    <row r="32" spans="1:7" x14ac:dyDescent="0.2">
      <c r="A32" s="192" t="s">
        <v>287</v>
      </c>
      <c r="B32" s="193">
        <v>485</v>
      </c>
      <c r="C32" s="193">
        <v>125</v>
      </c>
      <c r="D32" s="193">
        <v>35</v>
      </c>
      <c r="E32" s="193">
        <v>29</v>
      </c>
      <c r="F32" s="193">
        <v>-129</v>
      </c>
      <c r="G32" s="193">
        <v>-5</v>
      </c>
    </row>
    <row r="33" spans="1:7" x14ac:dyDescent="0.2">
      <c r="A33" s="192" t="s">
        <v>288</v>
      </c>
      <c r="B33" s="193">
        <v>179</v>
      </c>
      <c r="C33" s="193">
        <v>-50</v>
      </c>
      <c r="D33" s="193">
        <v>-281</v>
      </c>
      <c r="E33" s="193">
        <v>-147</v>
      </c>
      <c r="F33" s="193">
        <v>-150</v>
      </c>
      <c r="G33" s="193">
        <v>-141</v>
      </c>
    </row>
    <row r="34" spans="1:7" x14ac:dyDescent="0.2">
      <c r="A34" s="192" t="s">
        <v>289</v>
      </c>
      <c r="B34" s="193">
        <v>-4252</v>
      </c>
      <c r="C34" s="193">
        <v>-1573</v>
      </c>
      <c r="D34" s="193">
        <v>790</v>
      </c>
      <c r="E34" s="193">
        <v>991</v>
      </c>
      <c r="F34" s="193">
        <v>698</v>
      </c>
      <c r="G34" s="193">
        <v>158</v>
      </c>
    </row>
    <row r="35" spans="1:7" x14ac:dyDescent="0.2">
      <c r="A35" s="192" t="s">
        <v>290</v>
      </c>
      <c r="B35" s="193">
        <v>0</v>
      </c>
      <c r="C35" s="193">
        <v>0</v>
      </c>
      <c r="D35" s="193">
        <v>0</v>
      </c>
      <c r="E35" s="193">
        <v>0</v>
      </c>
      <c r="F35" s="193">
        <v>0</v>
      </c>
      <c r="G35" s="193">
        <v>0</v>
      </c>
    </row>
    <row r="36" spans="1:7" x14ac:dyDescent="0.2">
      <c r="A36" s="192" t="s">
        <v>291</v>
      </c>
      <c r="B36" s="193">
        <v>45</v>
      </c>
      <c r="C36" s="193">
        <v>1744</v>
      </c>
      <c r="D36" s="193">
        <v>-182</v>
      </c>
      <c r="E36" s="193">
        <v>-622</v>
      </c>
      <c r="F36" s="193">
        <v>-156</v>
      </c>
      <c r="G36" s="193">
        <v>-865</v>
      </c>
    </row>
    <row r="37" spans="1:7" x14ac:dyDescent="0.2">
      <c r="A37" s="190" t="s">
        <v>292</v>
      </c>
      <c r="B37" s="194">
        <v>48</v>
      </c>
      <c r="C37" s="194">
        <v>602</v>
      </c>
      <c r="D37" s="194">
        <v>3757</v>
      </c>
      <c r="E37" s="194">
        <v>3722</v>
      </c>
      <c r="F37" s="194">
        <v>3839</v>
      </c>
      <c r="G37" s="194">
        <v>2922</v>
      </c>
    </row>
    <row r="38" spans="1:7" x14ac:dyDescent="0.2">
      <c r="A38" s="192"/>
      <c r="B38" s="192"/>
      <c r="C38" s="192"/>
      <c r="D38" s="192"/>
      <c r="E38" s="192"/>
      <c r="F38" s="192"/>
      <c r="G38" s="192"/>
    </row>
    <row r="39" spans="1:7" x14ac:dyDescent="0.2">
      <c r="A39" s="192" t="s">
        <v>293</v>
      </c>
      <c r="B39" s="193">
        <v>-1003</v>
      </c>
      <c r="C39" s="193">
        <v>-1171</v>
      </c>
      <c r="D39" s="193">
        <v>-949</v>
      </c>
      <c r="E39" s="193">
        <v>-971</v>
      </c>
      <c r="F39" s="193">
        <v>-1108</v>
      </c>
      <c r="G39" s="193">
        <v>-1247</v>
      </c>
    </row>
    <row r="40" spans="1:7" x14ac:dyDescent="0.2">
      <c r="A40" s="192" t="s">
        <v>294</v>
      </c>
      <c r="B40" s="193">
        <v>3965</v>
      </c>
      <c r="C40" s="193">
        <v>237</v>
      </c>
      <c r="D40" s="193">
        <v>309</v>
      </c>
      <c r="E40" s="193">
        <v>342</v>
      </c>
      <c r="F40" s="193">
        <v>55</v>
      </c>
      <c r="G40" s="193">
        <v>137</v>
      </c>
    </row>
    <row r="41" spans="1:7" x14ac:dyDescent="0.2">
      <c r="A41" s="192" t="s">
        <v>295</v>
      </c>
      <c r="B41" s="193">
        <v>0</v>
      </c>
      <c r="C41" s="193">
        <v>15</v>
      </c>
      <c r="D41" s="193">
        <v>-48</v>
      </c>
      <c r="E41" s="193">
        <v>-71</v>
      </c>
      <c r="F41" s="193">
        <v>-17</v>
      </c>
      <c r="G41" s="193">
        <v>-46</v>
      </c>
    </row>
    <row r="42" spans="1:7" x14ac:dyDescent="0.2">
      <c r="A42" s="192" t="s">
        <v>296</v>
      </c>
      <c r="B42" s="193">
        <v>-6</v>
      </c>
      <c r="C42" s="193">
        <v>7806</v>
      </c>
      <c r="D42" s="193">
        <v>117</v>
      </c>
      <c r="E42" s="193">
        <v>0</v>
      </c>
      <c r="F42" s="193">
        <v>15</v>
      </c>
      <c r="G42" s="193">
        <v>0</v>
      </c>
    </row>
    <row r="43" spans="1:7" x14ac:dyDescent="0.2">
      <c r="A43" s="192" t="s">
        <v>297</v>
      </c>
      <c r="B43" s="193">
        <v>-201</v>
      </c>
      <c r="C43" s="193">
        <v>-206</v>
      </c>
      <c r="D43" s="193">
        <v>-229</v>
      </c>
      <c r="E43" s="193">
        <v>-279</v>
      </c>
      <c r="F43" s="193">
        <v>-278</v>
      </c>
      <c r="G43" s="193">
        <v>-292</v>
      </c>
    </row>
    <row r="44" spans="1:7" x14ac:dyDescent="0.2">
      <c r="A44" s="192" t="s">
        <v>298</v>
      </c>
      <c r="B44" s="193">
        <v>-425</v>
      </c>
      <c r="C44" s="193">
        <v>167</v>
      </c>
      <c r="D44" s="193">
        <v>-1010</v>
      </c>
      <c r="E44" s="193">
        <v>142</v>
      </c>
      <c r="F44" s="193">
        <v>-545</v>
      </c>
      <c r="G44" s="193">
        <v>566</v>
      </c>
    </row>
    <row r="45" spans="1:7" x14ac:dyDescent="0.2">
      <c r="A45" s="192" t="s">
        <v>299</v>
      </c>
      <c r="B45" s="193">
        <v>0</v>
      </c>
      <c r="C45" s="193">
        <v>0</v>
      </c>
      <c r="D45" s="193">
        <v>0</v>
      </c>
      <c r="E45" s="193">
        <v>0</v>
      </c>
      <c r="F45" s="193">
        <v>0</v>
      </c>
      <c r="G45" s="193">
        <v>0</v>
      </c>
    </row>
    <row r="46" spans="1:7" x14ac:dyDescent="0.2">
      <c r="A46" s="192" t="s">
        <v>300</v>
      </c>
      <c r="B46" s="193">
        <v>68</v>
      </c>
      <c r="C46" s="193">
        <v>-677</v>
      </c>
      <c r="D46" s="193">
        <v>75</v>
      </c>
      <c r="E46" s="193">
        <v>131</v>
      </c>
      <c r="F46" s="193">
        <v>178</v>
      </c>
      <c r="G46" s="193">
        <v>441</v>
      </c>
    </row>
    <row r="47" spans="1:7" x14ac:dyDescent="0.2">
      <c r="A47" s="190" t="s">
        <v>301</v>
      </c>
      <c r="B47" s="194">
        <v>2398</v>
      </c>
      <c r="C47" s="194">
        <v>6171</v>
      </c>
      <c r="D47" s="194">
        <v>-1735</v>
      </c>
      <c r="E47" s="194">
        <v>-706</v>
      </c>
      <c r="F47" s="194">
        <v>-1700</v>
      </c>
      <c r="G47" s="194">
        <v>-441</v>
      </c>
    </row>
    <row r="48" spans="1:7" x14ac:dyDescent="0.2">
      <c r="A48" s="192"/>
      <c r="B48" s="192"/>
      <c r="C48" s="192"/>
      <c r="D48" s="192"/>
      <c r="E48" s="192"/>
      <c r="F48" s="192"/>
      <c r="G48" s="192"/>
    </row>
    <row r="49" spans="1:7" x14ac:dyDescent="0.2">
      <c r="A49" s="192" t="s">
        <v>302</v>
      </c>
      <c r="B49" s="193">
        <v>0</v>
      </c>
      <c r="C49" s="193">
        <v>0</v>
      </c>
      <c r="D49" s="193">
        <v>0</v>
      </c>
      <c r="E49" s="193">
        <v>0</v>
      </c>
      <c r="F49" s="193">
        <v>0</v>
      </c>
      <c r="G49" s="193">
        <v>0</v>
      </c>
    </row>
    <row r="50" spans="1:7" x14ac:dyDescent="0.2">
      <c r="A50" s="192" t="s">
        <v>303</v>
      </c>
      <c r="B50" s="193">
        <v>1272</v>
      </c>
      <c r="C50" s="193">
        <v>1098</v>
      </c>
      <c r="D50" s="193">
        <v>394</v>
      </c>
      <c r="E50" s="193">
        <v>0</v>
      </c>
      <c r="F50" s="193">
        <v>1232</v>
      </c>
      <c r="G50" s="193">
        <v>462</v>
      </c>
    </row>
    <row r="51" spans="1:7" x14ac:dyDescent="0.2">
      <c r="A51" s="190" t="s">
        <v>304</v>
      </c>
      <c r="B51" s="194">
        <v>1272</v>
      </c>
      <c r="C51" s="194">
        <v>1098</v>
      </c>
      <c r="D51" s="194">
        <v>394</v>
      </c>
      <c r="E51" s="194">
        <v>0</v>
      </c>
      <c r="F51" s="194">
        <v>1232</v>
      </c>
      <c r="G51" s="194">
        <v>462</v>
      </c>
    </row>
    <row r="52" spans="1:7" x14ac:dyDescent="0.2">
      <c r="A52" s="192" t="s">
        <v>305</v>
      </c>
      <c r="B52" s="193">
        <v>0</v>
      </c>
      <c r="C52" s="193">
        <v>0</v>
      </c>
      <c r="D52" s="193">
        <v>0</v>
      </c>
      <c r="E52" s="193">
        <v>0</v>
      </c>
      <c r="F52" s="193">
        <v>0</v>
      </c>
      <c r="G52" s="193">
        <v>0</v>
      </c>
    </row>
    <row r="53" spans="1:7" x14ac:dyDescent="0.2">
      <c r="A53" s="192" t="s">
        <v>306</v>
      </c>
      <c r="B53" s="193">
        <v>-2390</v>
      </c>
      <c r="C53" s="193">
        <v>-2435</v>
      </c>
      <c r="D53" s="193">
        <v>-1352</v>
      </c>
      <c r="E53" s="193">
        <v>-1302</v>
      </c>
      <c r="F53" s="193">
        <v>-1402</v>
      </c>
      <c r="G53" s="193">
        <v>-1411</v>
      </c>
    </row>
    <row r="54" spans="1:7" x14ac:dyDescent="0.2">
      <c r="A54" s="190" t="s">
        <v>307</v>
      </c>
      <c r="B54" s="194">
        <v>-2390</v>
      </c>
      <c r="C54" s="194">
        <v>-2435</v>
      </c>
      <c r="D54" s="194">
        <v>-1352</v>
      </c>
      <c r="E54" s="194">
        <v>-1302</v>
      </c>
      <c r="F54" s="194">
        <v>-1402</v>
      </c>
      <c r="G54" s="194">
        <v>-1411</v>
      </c>
    </row>
    <row r="55" spans="1:7" x14ac:dyDescent="0.2">
      <c r="A55" s="192"/>
      <c r="B55" s="192"/>
      <c r="C55" s="192"/>
      <c r="D55" s="192"/>
      <c r="E55" s="192"/>
      <c r="F55" s="192"/>
      <c r="G55" s="192"/>
    </row>
    <row r="56" spans="1:7" x14ac:dyDescent="0.2">
      <c r="A56" s="192" t="s">
        <v>308</v>
      </c>
      <c r="B56" s="193">
        <v>0</v>
      </c>
      <c r="C56" s="193">
        <v>0</v>
      </c>
      <c r="D56" s="193">
        <v>0</v>
      </c>
      <c r="E56" s="193">
        <v>0</v>
      </c>
      <c r="F56" s="193">
        <v>0</v>
      </c>
      <c r="G56" s="193">
        <v>0</v>
      </c>
    </row>
    <row r="57" spans="1:7" x14ac:dyDescent="0.2">
      <c r="A57" s="192" t="s">
        <v>309</v>
      </c>
      <c r="B57" s="193">
        <v>-149</v>
      </c>
      <c r="C57" s="193">
        <v>-66</v>
      </c>
      <c r="D57" s="193">
        <v>-422</v>
      </c>
      <c r="E57" s="193">
        <v>-867</v>
      </c>
      <c r="F57" s="193">
        <v>-845</v>
      </c>
      <c r="G57" s="193">
        <v>-1070</v>
      </c>
    </row>
    <row r="58" spans="1:7" x14ac:dyDescent="0.2">
      <c r="A58" s="192"/>
      <c r="B58" s="192"/>
      <c r="C58" s="192"/>
      <c r="D58" s="192"/>
      <c r="E58" s="192"/>
      <c r="F58" s="192"/>
      <c r="G58" s="192"/>
    </row>
    <row r="59" spans="1:7" x14ac:dyDescent="0.2">
      <c r="A59" s="192" t="s">
        <v>310</v>
      </c>
      <c r="B59" s="193">
        <v>-656</v>
      </c>
      <c r="C59" s="193">
        <v>-910</v>
      </c>
      <c r="D59" s="193">
        <v>-704</v>
      </c>
      <c r="E59" s="193">
        <v>-858</v>
      </c>
      <c r="F59" s="193">
        <v>-777</v>
      </c>
      <c r="G59" s="193">
        <v>-864</v>
      </c>
    </row>
    <row r="60" spans="1:7" x14ac:dyDescent="0.2">
      <c r="A60" s="190" t="s">
        <v>311</v>
      </c>
      <c r="B60" s="194">
        <v>-656</v>
      </c>
      <c r="C60" s="194">
        <v>-910</v>
      </c>
      <c r="D60" s="194">
        <v>-704</v>
      </c>
      <c r="E60" s="194">
        <v>-858</v>
      </c>
      <c r="F60" s="194">
        <v>-777</v>
      </c>
      <c r="G60" s="194">
        <v>-864</v>
      </c>
    </row>
    <row r="61" spans="1:7" x14ac:dyDescent="0.2">
      <c r="A61" s="192"/>
      <c r="B61" s="192"/>
      <c r="C61" s="192"/>
      <c r="D61" s="192"/>
      <c r="E61" s="192"/>
      <c r="F61" s="192"/>
      <c r="G61" s="192"/>
    </row>
    <row r="62" spans="1:7" x14ac:dyDescent="0.2">
      <c r="A62" s="192" t="s">
        <v>312</v>
      </c>
      <c r="B62" s="193">
        <v>0</v>
      </c>
      <c r="C62" s="193">
        <v>-4948</v>
      </c>
      <c r="D62" s="193">
        <v>-27</v>
      </c>
      <c r="E62" s="193">
        <v>-1</v>
      </c>
      <c r="F62" s="193">
        <v>-1</v>
      </c>
      <c r="G62" s="193">
        <v>0</v>
      </c>
    </row>
    <row r="63" spans="1:7" x14ac:dyDescent="0.2">
      <c r="A63" s="192" t="s">
        <v>313</v>
      </c>
      <c r="B63" s="193">
        <v>-17</v>
      </c>
      <c r="C63" s="193">
        <v>-580</v>
      </c>
      <c r="D63" s="193">
        <v>-123</v>
      </c>
      <c r="E63" s="193">
        <v>-160</v>
      </c>
      <c r="F63" s="193">
        <v>-66</v>
      </c>
      <c r="G63" s="193">
        <v>-60</v>
      </c>
    </row>
    <row r="64" spans="1:7" x14ac:dyDescent="0.2">
      <c r="A64" s="190" t="s">
        <v>314</v>
      </c>
      <c r="B64" s="194">
        <v>-1940</v>
      </c>
      <c r="C64" s="194">
        <v>-7841</v>
      </c>
      <c r="D64" s="194">
        <v>-2234</v>
      </c>
      <c r="E64" s="194">
        <v>-3188</v>
      </c>
      <c r="F64" s="194">
        <v>-1859</v>
      </c>
      <c r="G64" s="194">
        <v>-2943</v>
      </c>
    </row>
    <row r="65" spans="1:7" x14ac:dyDescent="0.2">
      <c r="A65" s="192"/>
      <c r="B65" s="192"/>
      <c r="C65" s="192"/>
      <c r="D65" s="192"/>
      <c r="E65" s="192"/>
      <c r="F65" s="192"/>
      <c r="G65" s="192"/>
    </row>
    <row r="66" spans="1:7" x14ac:dyDescent="0.2">
      <c r="A66" s="192" t="s">
        <v>315</v>
      </c>
      <c r="B66" s="193">
        <v>-42</v>
      </c>
      <c r="C66" s="193">
        <v>8</v>
      </c>
      <c r="D66" s="193">
        <v>12</v>
      </c>
      <c r="E66" s="193">
        <v>-34</v>
      </c>
      <c r="F66" s="193">
        <v>29</v>
      </c>
      <c r="G66" s="193">
        <v>-13</v>
      </c>
    </row>
    <row r="67" spans="1:7" x14ac:dyDescent="0.2">
      <c r="A67" s="192" t="s">
        <v>316</v>
      </c>
      <c r="B67" s="193">
        <v>0</v>
      </c>
      <c r="C67" s="193">
        <v>7</v>
      </c>
      <c r="D67" s="193">
        <v>0</v>
      </c>
      <c r="E67" s="193">
        <v>0</v>
      </c>
      <c r="F67" s="193">
        <v>-346</v>
      </c>
      <c r="G67" s="193">
        <v>0</v>
      </c>
    </row>
    <row r="68" spans="1:7" x14ac:dyDescent="0.2">
      <c r="A68" s="190" t="s">
        <v>317</v>
      </c>
      <c r="B68" s="195">
        <v>464</v>
      </c>
      <c r="C68" s="195">
        <v>-1053</v>
      </c>
      <c r="D68" s="195">
        <v>-200</v>
      </c>
      <c r="E68" s="195">
        <v>-206</v>
      </c>
      <c r="F68" s="195">
        <v>-37</v>
      </c>
      <c r="G68" s="195">
        <v>-475</v>
      </c>
    </row>
    <row r="69" spans="1:7" x14ac:dyDescent="0.2">
      <c r="A69" s="5"/>
      <c r="B69" s="5"/>
      <c r="C69" s="5"/>
      <c r="D69" s="5"/>
      <c r="E69" s="5"/>
      <c r="F69" s="5"/>
      <c r="G69" s="5"/>
    </row>
    <row r="70" spans="1:7" x14ac:dyDescent="0.2">
      <c r="A70" s="14" t="s">
        <v>147</v>
      </c>
      <c r="B70" s="5"/>
      <c r="C70" s="192"/>
      <c r="D70" s="5"/>
      <c r="E70" s="5"/>
      <c r="F70" s="5"/>
      <c r="G70" s="5"/>
    </row>
    <row r="71" spans="1:7" x14ac:dyDescent="0.2">
      <c r="A71" s="5" t="s">
        <v>318</v>
      </c>
      <c r="B71" s="15">
        <v>803</v>
      </c>
      <c r="C71" s="15">
        <v>729</v>
      </c>
      <c r="D71" s="15">
        <v>650</v>
      </c>
      <c r="E71" s="15">
        <v>652</v>
      </c>
      <c r="F71" s="15">
        <v>824</v>
      </c>
      <c r="G71" s="15">
        <v>769</v>
      </c>
    </row>
    <row r="72" spans="1:7" x14ac:dyDescent="0.2">
      <c r="A72" s="5" t="s">
        <v>319</v>
      </c>
      <c r="B72" s="15">
        <v>340</v>
      </c>
      <c r="C72" s="15">
        <v>255</v>
      </c>
      <c r="D72" s="15">
        <v>201</v>
      </c>
      <c r="E72" s="15">
        <v>123</v>
      </c>
      <c r="F72" s="15">
        <v>223</v>
      </c>
      <c r="G72" s="15">
        <v>366</v>
      </c>
    </row>
    <row r="73" spans="1:7" x14ac:dyDescent="0.2">
      <c r="A73" s="5" t="s">
        <v>320</v>
      </c>
      <c r="B73" s="15">
        <v>632.625</v>
      </c>
      <c r="C73" s="15">
        <v>1013</v>
      </c>
      <c r="D73" s="15">
        <v>2317.25</v>
      </c>
      <c r="E73" s="15">
        <v>1600.75</v>
      </c>
      <c r="F73" s="15">
        <v>883.5</v>
      </c>
      <c r="G73" s="15">
        <v>2454.75</v>
      </c>
    </row>
    <row r="74" spans="1:7" x14ac:dyDescent="0.2">
      <c r="A74" s="5" t="s">
        <v>321</v>
      </c>
      <c r="B74" s="15">
        <v>1083.875</v>
      </c>
      <c r="C74" s="15">
        <v>1451.125</v>
      </c>
      <c r="D74" s="15">
        <v>2724.75</v>
      </c>
      <c r="E74" s="15">
        <v>2043.875</v>
      </c>
      <c r="F74" s="15">
        <v>1387.875</v>
      </c>
      <c r="G74" s="15">
        <v>2935.375</v>
      </c>
    </row>
    <row r="75" spans="1:7" x14ac:dyDescent="0.2">
      <c r="A75" s="5" t="s">
        <v>322</v>
      </c>
      <c r="B75" s="15">
        <v>1290</v>
      </c>
      <c r="C75" s="15">
        <v>103</v>
      </c>
      <c r="D75" s="15">
        <v>-269</v>
      </c>
      <c r="E75" s="15">
        <v>103</v>
      </c>
      <c r="F75" s="15">
        <v>802</v>
      </c>
      <c r="G75" s="15">
        <v>-694</v>
      </c>
    </row>
    <row r="76" spans="1:7" x14ac:dyDescent="0.2">
      <c r="A76" s="5" t="s">
        <v>323</v>
      </c>
      <c r="B76" s="15">
        <v>-1118</v>
      </c>
      <c r="C76" s="15">
        <v>-1337</v>
      </c>
      <c r="D76" s="15">
        <v>-958</v>
      </c>
      <c r="E76" s="15">
        <v>-1302</v>
      </c>
      <c r="F76" s="15">
        <v>-170</v>
      </c>
      <c r="G76" s="15">
        <v>-949</v>
      </c>
    </row>
    <row r="77" spans="1:7" x14ac:dyDescent="0.2">
      <c r="A77" s="5" t="s">
        <v>324</v>
      </c>
      <c r="B77" s="15">
        <v>0</v>
      </c>
      <c r="C77" s="15">
        <v>-713</v>
      </c>
      <c r="D77" s="15">
        <v>44</v>
      </c>
      <c r="E77" s="15">
        <v>0</v>
      </c>
      <c r="F77" s="15">
        <v>0</v>
      </c>
      <c r="G77" s="15">
        <v>157</v>
      </c>
    </row>
    <row r="78" spans="1:7" x14ac:dyDescent="0.2">
      <c r="A78" s="5" t="s">
        <v>162</v>
      </c>
      <c r="B78" s="22">
        <v>44300</v>
      </c>
      <c r="C78" s="22">
        <v>44678</v>
      </c>
      <c r="D78" s="22">
        <v>45058</v>
      </c>
      <c r="E78" s="22">
        <v>45422</v>
      </c>
      <c r="F78" s="22">
        <v>45779</v>
      </c>
      <c r="G78" s="22">
        <v>45779</v>
      </c>
    </row>
    <row r="79" spans="1:7" ht="17" x14ac:dyDescent="0.2">
      <c r="A79" s="5" t="s">
        <v>163</v>
      </c>
      <c r="B79" s="23" t="s">
        <v>166</v>
      </c>
      <c r="C79" s="23" t="s">
        <v>166</v>
      </c>
      <c r="D79" s="23" t="s">
        <v>165</v>
      </c>
      <c r="E79" s="23" t="s">
        <v>166</v>
      </c>
      <c r="F79" s="23" t="s">
        <v>165</v>
      </c>
      <c r="G79" s="23" t="s">
        <v>164</v>
      </c>
    </row>
    <row r="80" spans="1:7" ht="17" x14ac:dyDescent="0.2">
      <c r="A80" s="5" t="s">
        <v>169</v>
      </c>
      <c r="B80" s="23" t="s">
        <v>170</v>
      </c>
      <c r="C80" s="23" t="s">
        <v>170</v>
      </c>
      <c r="D80" s="23" t="s">
        <v>170</v>
      </c>
      <c r="E80" s="23" t="s">
        <v>170</v>
      </c>
      <c r="F80" s="23" t="s">
        <v>170</v>
      </c>
      <c r="G80" s="23" t="s">
        <v>170</v>
      </c>
    </row>
    <row r="81" spans="1:38" x14ac:dyDescent="0.2">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row>
    <row r="82" spans="1:38" x14ac:dyDescent="0.2">
      <c r="A82" s="51" t="s">
        <v>184</v>
      </c>
      <c r="B82" s="25"/>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row>
    <row r="83" spans="1:38" x14ac:dyDescent="0.2">
      <c r="A83" s="27" t="s">
        <v>73</v>
      </c>
    </row>
    <row r="86" spans="1:38" x14ac:dyDescent="0.2">
      <c r="A86" s="200" t="s">
        <v>836</v>
      </c>
      <c r="B86" s="201"/>
      <c r="C86" s="201"/>
      <c r="D86" s="201"/>
      <c r="E86" s="201"/>
      <c r="F86" s="201"/>
      <c r="G86" s="201"/>
    </row>
    <row r="87" spans="1:38" x14ac:dyDescent="0.2">
      <c r="A87" s="202" t="str">
        <f>A68</f>
        <v xml:space="preserve">  Net Change in Cash</v>
      </c>
      <c r="B87" s="203">
        <f t="shared" ref="B87:G87" si="0">B68</f>
        <v>464</v>
      </c>
      <c r="C87" s="203">
        <f t="shared" si="0"/>
        <v>-1053</v>
      </c>
      <c r="D87" s="203">
        <f t="shared" si="0"/>
        <v>-200</v>
      </c>
      <c r="E87" s="203">
        <f t="shared" si="0"/>
        <v>-206</v>
      </c>
      <c r="F87" s="203">
        <f t="shared" si="0"/>
        <v>-37</v>
      </c>
      <c r="G87" s="203">
        <f t="shared" si="0"/>
        <v>-475</v>
      </c>
    </row>
    <row r="88" spans="1:38" x14ac:dyDescent="0.2">
      <c r="A88" s="201" t="s">
        <v>785</v>
      </c>
      <c r="B88" s="201"/>
      <c r="C88" s="201"/>
      <c r="D88" s="201"/>
      <c r="E88" s="201"/>
      <c r="F88" s="201"/>
      <c r="G88" s="201"/>
    </row>
    <row r="89" spans="1:38" x14ac:dyDescent="0.2">
      <c r="A89" s="201" t="s">
        <v>837</v>
      </c>
      <c r="B89" s="201"/>
      <c r="C89" s="201">
        <f>'Balance Sheet'!B18</f>
        <v>4137</v>
      </c>
      <c r="D89" s="201">
        <f>'Balance Sheet'!C18</f>
        <v>2510</v>
      </c>
      <c r="E89" s="201">
        <f>'Balance Sheet'!D18</f>
        <v>2345</v>
      </c>
      <c r="F89" s="201">
        <f>'Balance Sheet'!E18</f>
        <v>2465</v>
      </c>
      <c r="G89" s="201">
        <f>'Balance Sheet'!F18</f>
        <v>2340</v>
      </c>
    </row>
    <row r="90" spans="1:38" x14ac:dyDescent="0.2">
      <c r="A90" s="201" t="s">
        <v>787</v>
      </c>
      <c r="B90" s="204">
        <f>SUM(B87+B89)</f>
        <v>464</v>
      </c>
      <c r="C90" s="204">
        <f t="shared" ref="C90:G90" si="1">SUM(C87+C89)</f>
        <v>3084</v>
      </c>
      <c r="D90" s="204">
        <f t="shared" si="1"/>
        <v>2310</v>
      </c>
      <c r="E90" s="204">
        <f t="shared" si="1"/>
        <v>2139</v>
      </c>
      <c r="F90" s="204">
        <f t="shared" si="1"/>
        <v>2428</v>
      </c>
      <c r="G90" s="204">
        <f t="shared" si="1"/>
        <v>1865</v>
      </c>
    </row>
    <row r="91" spans="1:38" x14ac:dyDescent="0.2">
      <c r="A91" s="201"/>
      <c r="B91" s="201"/>
      <c r="C91" s="201"/>
      <c r="D91" s="201"/>
      <c r="E91" s="201"/>
      <c r="F91" s="201"/>
      <c r="G91" s="201"/>
    </row>
    <row r="92" spans="1:38" x14ac:dyDescent="0.2">
      <c r="A92" s="201" t="s">
        <v>838</v>
      </c>
      <c r="B92" s="201">
        <f>'Balance Sheet'!B18</f>
        <v>4137</v>
      </c>
      <c r="C92" s="201">
        <f>'Balance Sheet'!C18</f>
        <v>2510</v>
      </c>
      <c r="D92" s="201">
        <f>'Balance Sheet'!D18</f>
        <v>2345</v>
      </c>
      <c r="E92" s="201">
        <f>'Balance Sheet'!E18</f>
        <v>2465</v>
      </c>
      <c r="F92" s="201">
        <f>'Balance Sheet'!F18</f>
        <v>2340</v>
      </c>
      <c r="G92" s="201">
        <f>'Balance Sheet'!G18</f>
        <v>2255</v>
      </c>
    </row>
    <row r="93" spans="1:38" x14ac:dyDescent="0.2">
      <c r="A93" s="201"/>
      <c r="B93" s="201"/>
      <c r="C93" s="201"/>
      <c r="D93" s="201"/>
      <c r="E93" s="201"/>
      <c r="F93" s="201"/>
      <c r="G93" s="201"/>
    </row>
    <row r="94" spans="1:38" x14ac:dyDescent="0.2">
      <c r="A94" s="201" t="s">
        <v>789</v>
      </c>
      <c r="B94" s="204">
        <f>B92-B90</f>
        <v>3673</v>
      </c>
      <c r="C94" s="204">
        <f t="shared" ref="C94:G94" si="2">C92-C90</f>
        <v>-574</v>
      </c>
      <c r="D94" s="204">
        <f t="shared" si="2"/>
        <v>35</v>
      </c>
      <c r="E94" s="204">
        <f t="shared" si="2"/>
        <v>326</v>
      </c>
      <c r="F94" s="204">
        <f t="shared" si="2"/>
        <v>-88</v>
      </c>
      <c r="G94" s="204">
        <f t="shared" si="2"/>
        <v>390</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47A82-BC13-774A-8E93-880A827F94D9}">
  <dimension ref="A1:N236"/>
  <sheetViews>
    <sheetView topLeftCell="A144" zoomScale="125" zoomScaleNormal="125" workbookViewId="0">
      <pane xSplit="1" topLeftCell="E1" activePane="topRight" state="frozen"/>
      <selection activeCell="A104" sqref="A104"/>
      <selection pane="topRight" activeCell="F167" sqref="F167"/>
    </sheetView>
  </sheetViews>
  <sheetFormatPr baseColWidth="10" defaultRowHeight="16" x14ac:dyDescent="0.2"/>
  <cols>
    <col min="1" max="1" width="32" style="73" bestFit="1" customWidth="1"/>
    <col min="2" max="11" width="14.33203125" style="71" customWidth="1"/>
    <col min="12" max="12" width="10.83203125" style="71"/>
    <col min="13" max="13" width="20.6640625" style="71" bestFit="1" customWidth="1"/>
    <col min="14" max="16384" width="10.83203125" style="71"/>
  </cols>
  <sheetData>
    <row r="1" spans="1:11" x14ac:dyDescent="0.2">
      <c r="A1" s="174" t="s">
        <v>799</v>
      </c>
      <c r="B1" s="175"/>
      <c r="C1" s="175"/>
      <c r="D1" s="175"/>
      <c r="E1" s="175"/>
      <c r="F1" s="175"/>
      <c r="G1" s="175"/>
      <c r="H1" s="175"/>
      <c r="I1" s="175"/>
      <c r="J1" s="175"/>
      <c r="K1" s="175"/>
    </row>
    <row r="2" spans="1:11" s="72" customFormat="1" x14ac:dyDescent="0.2">
      <c r="A2" s="176" t="s">
        <v>809</v>
      </c>
      <c r="B2" s="72" t="s">
        <v>800</v>
      </c>
      <c r="C2" s="72" t="s">
        <v>801</v>
      </c>
      <c r="E2" s="176" t="s">
        <v>808</v>
      </c>
      <c r="F2" s="72" t="s">
        <v>800</v>
      </c>
      <c r="G2" s="72" t="s">
        <v>801</v>
      </c>
    </row>
    <row r="3" spans="1:11" x14ac:dyDescent="0.2">
      <c r="A3" s="73" t="s">
        <v>802</v>
      </c>
      <c r="B3" s="177">
        <v>2255</v>
      </c>
      <c r="C3" s="178">
        <f>B3/$B$9</f>
        <v>2.9897645311837081E-2</v>
      </c>
      <c r="E3" s="71" t="s">
        <v>810</v>
      </c>
      <c r="F3" s="177">
        <v>59401</v>
      </c>
      <c r="G3" s="178">
        <f>F3/$F$9</f>
        <v>0.78756098854476031</v>
      </c>
    </row>
    <row r="4" spans="1:11" x14ac:dyDescent="0.2">
      <c r="A4" s="73" t="s">
        <v>803</v>
      </c>
      <c r="B4" s="177">
        <v>16738</v>
      </c>
      <c r="C4" s="178">
        <f t="shared" ref="C4:C8" si="0">B4/$B$9</f>
        <v>0.22191875265167585</v>
      </c>
      <c r="E4" s="71" t="s">
        <v>816</v>
      </c>
      <c r="F4" s="177">
        <v>14666</v>
      </c>
      <c r="G4" s="178">
        <f t="shared" ref="G4:G6" si="1">F4/$F$9</f>
        <v>0.1944473907509546</v>
      </c>
    </row>
    <row r="5" spans="1:11" x14ac:dyDescent="0.2">
      <c r="A5" s="73" t="s">
        <v>804</v>
      </c>
      <c r="B5" s="177">
        <v>23037</v>
      </c>
      <c r="C5" s="178">
        <f t="shared" si="0"/>
        <v>0.30543328383538398</v>
      </c>
      <c r="E5" s="71" t="s">
        <v>811</v>
      </c>
      <c r="F5" s="74">
        <v>750</v>
      </c>
      <c r="G5" s="178">
        <f t="shared" si="1"/>
        <v>9.9437844717861681E-3</v>
      </c>
    </row>
    <row r="6" spans="1:11" x14ac:dyDescent="0.2">
      <c r="A6" s="73" t="s">
        <v>805</v>
      </c>
      <c r="B6" s="177">
        <v>6976</v>
      </c>
      <c r="C6" s="178">
        <f t="shared" si="0"/>
        <v>9.2490453966907082E-2</v>
      </c>
      <c r="E6" s="71" t="s">
        <v>812</v>
      </c>
      <c r="F6" s="74">
        <v>607</v>
      </c>
      <c r="G6" s="178">
        <f t="shared" si="1"/>
        <v>8.0478362324989394E-3</v>
      </c>
    </row>
    <row r="7" spans="1:11" x14ac:dyDescent="0.2">
      <c r="A7" s="73" t="s">
        <v>806</v>
      </c>
      <c r="B7" s="177">
        <v>7562</v>
      </c>
      <c r="C7" s="178">
        <f t="shared" si="0"/>
        <v>0.10025986423419601</v>
      </c>
    </row>
    <row r="8" spans="1:11" x14ac:dyDescent="0.2">
      <c r="A8" s="73" t="s">
        <v>807</v>
      </c>
      <c r="B8" s="177">
        <v>18856</v>
      </c>
      <c r="C8" s="178">
        <f t="shared" si="0"/>
        <v>0.25</v>
      </c>
    </row>
    <row r="9" spans="1:11" x14ac:dyDescent="0.2">
      <c r="B9" s="179">
        <f>SUM(B3:B8)</f>
        <v>75424</v>
      </c>
      <c r="C9" s="180">
        <f>SUM(C3:C8)</f>
        <v>0.99999999999999989</v>
      </c>
      <c r="F9" s="179">
        <f>SUM(F3:F6)</f>
        <v>75424</v>
      </c>
      <c r="G9" s="180">
        <f>SUM(G3:G6)</f>
        <v>1</v>
      </c>
    </row>
    <row r="10" spans="1:11" x14ac:dyDescent="0.2">
      <c r="B10" s="179"/>
      <c r="C10" s="180"/>
      <c r="F10" s="179"/>
      <c r="G10" s="180"/>
    </row>
    <row r="12" spans="1:11" ht="17" thickBot="1" x14ac:dyDescent="0.25">
      <c r="A12" s="174" t="s">
        <v>813</v>
      </c>
      <c r="B12" s="181"/>
      <c r="C12" s="181"/>
      <c r="D12" s="181"/>
      <c r="E12" s="181"/>
      <c r="F12" s="181"/>
      <c r="G12" s="181"/>
      <c r="H12" s="181"/>
      <c r="I12" s="181"/>
      <c r="J12" s="181"/>
      <c r="K12" s="181"/>
    </row>
    <row r="13" spans="1:11" ht="17" thickBot="1" x14ac:dyDescent="0.25">
      <c r="B13" s="257" t="s">
        <v>6</v>
      </c>
      <c r="C13" s="258"/>
      <c r="D13" s="258"/>
      <c r="E13" s="258"/>
      <c r="F13" s="258"/>
      <c r="G13" s="259"/>
      <c r="H13" s="91"/>
      <c r="I13" s="257" t="s">
        <v>790</v>
      </c>
      <c r="J13" s="258"/>
      <c r="K13" s="259"/>
    </row>
    <row r="14" spans="1:11" s="91" customFormat="1" ht="16" customHeight="1" x14ac:dyDescent="0.2">
      <c r="A14" s="135"/>
      <c r="B14" s="182">
        <v>2020</v>
      </c>
      <c r="C14" s="182">
        <v>2021</v>
      </c>
      <c r="D14" s="182">
        <v>2022</v>
      </c>
      <c r="E14" s="182">
        <v>2023</v>
      </c>
      <c r="F14" s="182">
        <v>2024</v>
      </c>
      <c r="G14" s="182">
        <v>2025</v>
      </c>
      <c r="H14" s="182"/>
      <c r="I14" s="28">
        <v>2026</v>
      </c>
      <c r="J14" s="28">
        <v>2027</v>
      </c>
      <c r="K14" s="28">
        <v>2028</v>
      </c>
    </row>
    <row r="15" spans="1:11" x14ac:dyDescent="0.2">
      <c r="A15" s="73" t="s">
        <v>795</v>
      </c>
      <c r="B15" s="183"/>
      <c r="C15" s="183">
        <f>C56/B56-1</f>
        <v>-3.5117315935342397E-3</v>
      </c>
      <c r="D15" s="183">
        <f>D56/C56-1</f>
        <v>5.9719798918582701E-2</v>
      </c>
      <c r="E15" s="183">
        <f>E56/D56-1</f>
        <v>6.484741784037551E-2</v>
      </c>
      <c r="F15" s="183">
        <f>F56/E56-1</f>
        <v>4.3859649122806932E-2</v>
      </c>
      <c r="G15" s="183">
        <f>G56/F56-1</f>
        <v>2.5356739554460495E-2</v>
      </c>
      <c r="H15" s="183"/>
      <c r="I15" s="183">
        <v>5.0799999999999998E-2</v>
      </c>
      <c r="J15" s="183">
        <v>5.0799999999999998E-2</v>
      </c>
      <c r="K15" s="183">
        <v>5.0799999999999998E-2</v>
      </c>
    </row>
    <row r="16" spans="1:11" x14ac:dyDescent="0.2">
      <c r="A16" s="73" t="s">
        <v>796</v>
      </c>
      <c r="B16" s="183">
        <f t="shared" ref="B16:G16" si="2">B62/B56</f>
        <v>6.6085968566559364E-2</v>
      </c>
      <c r="C16" s="183">
        <f t="shared" si="2"/>
        <v>6.2241954152054864E-2</v>
      </c>
      <c r="D16" s="183">
        <f t="shared" si="2"/>
        <v>6.9036906624934793E-2</v>
      </c>
      <c r="E16" s="183">
        <f t="shared" si="2"/>
        <v>6.506230672667708E-2</v>
      </c>
      <c r="F16" s="183">
        <f t="shared" si="2"/>
        <v>7.1171924267089029E-2</v>
      </c>
      <c r="G16" s="183">
        <f t="shared" si="2"/>
        <v>7.6577607414611823E-2</v>
      </c>
      <c r="H16" s="183"/>
      <c r="I16" s="183">
        <v>8.1000000000000003E-2</v>
      </c>
      <c r="J16" s="183">
        <v>8.1000000000000003E-2</v>
      </c>
      <c r="K16" s="183">
        <v>8.1000000000000003E-2</v>
      </c>
    </row>
    <row r="17" spans="1:14" x14ac:dyDescent="0.2">
      <c r="A17" s="73" t="s">
        <v>797</v>
      </c>
      <c r="B17" s="183">
        <f t="shared" ref="B17:G17" si="3">B69/B56</f>
        <v>2.0863817114527207E-2</v>
      </c>
      <c r="C17" s="183">
        <f t="shared" si="3"/>
        <v>3.1336915024098674E-2</v>
      </c>
      <c r="D17" s="183">
        <f t="shared" si="3"/>
        <v>2.2251564945226916E-2</v>
      </c>
      <c r="E17" s="183">
        <f t="shared" si="3"/>
        <v>2.5336027678270721E-2</v>
      </c>
      <c r="F17" s="183">
        <f t="shared" si="3"/>
        <v>2.9829732940296536E-2</v>
      </c>
      <c r="G17" s="183">
        <f t="shared" si="3"/>
        <v>3.3683277075347559E-2</v>
      </c>
      <c r="H17" s="183"/>
      <c r="I17" s="183">
        <v>3.5000000000000003E-2</v>
      </c>
      <c r="J17" s="183">
        <v>3.5000000000000003E-2</v>
      </c>
      <c r="K17" s="183">
        <v>3.5000000000000003E-2</v>
      </c>
      <c r="L17" s="183"/>
      <c r="M17" s="183"/>
      <c r="N17" s="183"/>
    </row>
    <row r="18" spans="1:14" x14ac:dyDescent="0.2">
      <c r="A18" s="73" t="s">
        <v>798</v>
      </c>
      <c r="B18" s="183">
        <f t="shared" ref="B18:G18" si="4">B92/B90</f>
        <v>0.28210116731517509</v>
      </c>
      <c r="C18" s="183">
        <f t="shared" si="4"/>
        <v>0.16352201257861634</v>
      </c>
      <c r="D18" s="183">
        <f t="shared" si="4"/>
        <v>0.25086079685194296</v>
      </c>
      <c r="E18" s="183">
        <f t="shared" si="4"/>
        <v>0.25396825396825395</v>
      </c>
      <c r="F18" s="183">
        <f t="shared" si="4"/>
        <v>0.22935779816513763</v>
      </c>
      <c r="G18" s="183">
        <f t="shared" si="4"/>
        <v>0.27584650112866815</v>
      </c>
      <c r="H18" s="183"/>
      <c r="I18" s="183">
        <v>0.3</v>
      </c>
      <c r="J18" s="183">
        <v>0.315</v>
      </c>
      <c r="K18" s="183">
        <v>0.33</v>
      </c>
    </row>
    <row r="20" spans="1:14" x14ac:dyDescent="0.2">
      <c r="A20" s="73" t="s">
        <v>820</v>
      </c>
      <c r="B20" s="75">
        <f>B112/B52*365</f>
        <v>8.9356926152605087</v>
      </c>
      <c r="C20" s="75">
        <f t="shared" ref="C20:G20" si="5">C112/C52*365</f>
        <v>8.066121920492721</v>
      </c>
      <c r="D20" s="75">
        <f t="shared" si="5"/>
        <v>7.5995285273899214</v>
      </c>
      <c r="E20" s="75">
        <f t="shared" si="5"/>
        <v>6.9718974263796092</v>
      </c>
      <c r="F20" s="75">
        <f t="shared" si="5"/>
        <v>7.2759446160211612</v>
      </c>
      <c r="G20" s="75">
        <f t="shared" si="5"/>
        <v>6.3830555997167266</v>
      </c>
      <c r="I20" s="71">
        <v>8</v>
      </c>
      <c r="J20" s="71">
        <v>8</v>
      </c>
      <c r="K20" s="71">
        <v>8</v>
      </c>
    </row>
    <row r="21" spans="1:14" x14ac:dyDescent="0.2">
      <c r="A21" s="73" t="s">
        <v>821</v>
      </c>
      <c r="B21" s="75">
        <f>365/B20</f>
        <v>40.847421203438394</v>
      </c>
      <c r="C21" s="75">
        <f t="shared" ref="C21:G21" si="6">365/C20</f>
        <v>45.250989707046713</v>
      </c>
      <c r="D21" s="75">
        <f t="shared" si="6"/>
        <v>48.029295328582741</v>
      </c>
      <c r="E21" s="75">
        <f t="shared" si="6"/>
        <v>52.353036437246963</v>
      </c>
      <c r="F21" s="75">
        <f t="shared" si="6"/>
        <v>50.165307635285394</v>
      </c>
      <c r="G21" s="75">
        <f t="shared" si="6"/>
        <v>57.182644628099169</v>
      </c>
      <c r="I21" s="75">
        <f>365/I20</f>
        <v>45.625</v>
      </c>
      <c r="J21" s="75">
        <f t="shared" ref="J21:K21" si="7">365/J20</f>
        <v>45.625</v>
      </c>
      <c r="K21" s="75">
        <f t="shared" si="7"/>
        <v>45.625</v>
      </c>
    </row>
    <row r="22" spans="1:14" x14ac:dyDescent="0.2">
      <c r="B22" s="75"/>
      <c r="C22" s="75"/>
      <c r="D22" s="75"/>
      <c r="E22" s="75"/>
      <c r="F22" s="75"/>
      <c r="G22" s="75"/>
      <c r="I22" s="75"/>
      <c r="J22" s="75"/>
      <c r="K22" s="75"/>
    </row>
    <row r="23" spans="1:14" x14ac:dyDescent="0.2">
      <c r="A23" s="73" t="s">
        <v>822</v>
      </c>
      <c r="B23" s="75">
        <f>B117/B58*365</f>
        <v>16.637222024467469</v>
      </c>
      <c r="C23" s="75">
        <f t="shared" ref="C23:G23" si="8">C117/C58*365</f>
        <v>14.054137045446087</v>
      </c>
      <c r="D23" s="75">
        <f t="shared" si="8"/>
        <v>15.107412716108369</v>
      </c>
      <c r="E23" s="75">
        <f t="shared" si="8"/>
        <v>15.165033437065484</v>
      </c>
      <c r="F23" s="75">
        <f t="shared" si="8"/>
        <v>15.308550600070035</v>
      </c>
      <c r="G23" s="75">
        <f t="shared" si="8"/>
        <v>15.812686835803609</v>
      </c>
      <c r="I23" s="75">
        <v>16</v>
      </c>
      <c r="J23" s="75">
        <v>16</v>
      </c>
      <c r="K23" s="75">
        <v>16</v>
      </c>
    </row>
    <row r="24" spans="1:14" x14ac:dyDescent="0.2">
      <c r="A24" s="73" t="s">
        <v>823</v>
      </c>
      <c r="B24" s="186">
        <f>365/B23</f>
        <v>21.938758734073158</v>
      </c>
      <c r="C24" s="186">
        <f t="shared" ref="C24:G24" si="9">365/C23</f>
        <v>25.971000483325277</v>
      </c>
      <c r="D24" s="186">
        <f t="shared" si="9"/>
        <v>24.160324925181701</v>
      </c>
      <c r="E24" s="186">
        <f t="shared" si="9"/>
        <v>24.068525896414343</v>
      </c>
      <c r="F24" s="186">
        <f t="shared" si="9"/>
        <v>23.842884250474384</v>
      </c>
      <c r="G24" s="186">
        <f t="shared" si="9"/>
        <v>23.082731213872833</v>
      </c>
      <c r="I24" s="75">
        <f>365/I23</f>
        <v>22.8125</v>
      </c>
      <c r="J24" s="75">
        <f t="shared" ref="J24:K24" si="10">365/J23</f>
        <v>22.8125</v>
      </c>
      <c r="K24" s="75">
        <f t="shared" si="10"/>
        <v>22.8125</v>
      </c>
    </row>
    <row r="25" spans="1:14" x14ac:dyDescent="0.2">
      <c r="B25" s="186"/>
      <c r="C25" s="186"/>
      <c r="D25" s="186"/>
      <c r="E25" s="186"/>
      <c r="F25" s="186"/>
      <c r="G25" s="186"/>
      <c r="I25" s="75"/>
      <c r="J25" s="75"/>
      <c r="K25" s="75"/>
    </row>
    <row r="26" spans="1:14" x14ac:dyDescent="0.2">
      <c r="A26" s="73" t="s">
        <v>824</v>
      </c>
      <c r="B26" s="186">
        <f t="shared" ref="B26:G26" si="11">B140/B58*365</f>
        <v>61.009985574311031</v>
      </c>
      <c r="C26" s="186">
        <f t="shared" si="11"/>
        <v>57.052052704060742</v>
      </c>
      <c r="D26" s="186">
        <f t="shared" si="11"/>
        <v>59.299339951513865</v>
      </c>
      <c r="E26" s="186">
        <f t="shared" si="11"/>
        <v>58.980500562802092</v>
      </c>
      <c r="F26" s="186">
        <f t="shared" si="11"/>
        <v>59.630726132492917</v>
      </c>
      <c r="G26" s="186">
        <f t="shared" si="11"/>
        <v>59.206172820183745</v>
      </c>
      <c r="I26" s="75">
        <v>62</v>
      </c>
      <c r="J26" s="75">
        <v>62</v>
      </c>
      <c r="K26" s="75">
        <v>62</v>
      </c>
    </row>
    <row r="27" spans="1:14" x14ac:dyDescent="0.2">
      <c r="A27" s="73" t="s">
        <v>825</v>
      </c>
      <c r="B27" s="186">
        <f>365/B26</f>
        <v>5.9826272136292316</v>
      </c>
      <c r="C27" s="186">
        <f t="shared" ref="C27:G27" si="12">365/C26</f>
        <v>6.3976663888558161</v>
      </c>
      <c r="D27" s="186">
        <f t="shared" si="12"/>
        <v>6.1552118505609412</v>
      </c>
      <c r="E27" s="186">
        <f t="shared" si="12"/>
        <v>6.1884859659905755</v>
      </c>
      <c r="F27" s="186">
        <f t="shared" si="12"/>
        <v>6.1210054559625879</v>
      </c>
      <c r="G27" s="186">
        <f t="shared" si="12"/>
        <v>6.1648977228869164</v>
      </c>
      <c r="I27" s="75">
        <f>365/I26</f>
        <v>5.887096774193548</v>
      </c>
      <c r="J27" s="75">
        <f t="shared" ref="J27:K27" si="13">365/J26</f>
        <v>5.887096774193548</v>
      </c>
      <c r="K27" s="75">
        <f t="shared" si="13"/>
        <v>5.887096774193548</v>
      </c>
    </row>
    <row r="28" spans="1:14" x14ac:dyDescent="0.2">
      <c r="C28" s="183"/>
      <c r="D28" s="183"/>
      <c r="E28" s="183"/>
      <c r="F28" s="183"/>
      <c r="G28" s="183"/>
      <c r="I28" s="183"/>
      <c r="J28" s="183"/>
      <c r="K28" s="183"/>
    </row>
    <row r="29" spans="1:14" x14ac:dyDescent="0.2">
      <c r="A29" s="73" t="s">
        <v>826</v>
      </c>
      <c r="B29" s="99"/>
      <c r="C29" s="99">
        <f>C121/B121-1</f>
        <v>1.1188118811881189</v>
      </c>
      <c r="D29" s="99">
        <f t="shared" ref="D29:G29" si="14">D121/C121-1</f>
        <v>-0.31931464174454827</v>
      </c>
      <c r="E29" s="99">
        <f t="shared" si="14"/>
        <v>-0.38901601830663612</v>
      </c>
      <c r="F29" s="99">
        <f t="shared" si="14"/>
        <v>28.355805243445694</v>
      </c>
      <c r="G29" s="99">
        <f t="shared" si="14"/>
        <v>-0.97167644807348819</v>
      </c>
      <c r="I29" s="99">
        <v>0.1</v>
      </c>
      <c r="J29" s="99">
        <v>0.1</v>
      </c>
      <c r="K29" s="99">
        <v>0.1</v>
      </c>
    </row>
    <row r="31" spans="1:14" x14ac:dyDescent="0.2">
      <c r="A31" s="73" t="s">
        <v>817</v>
      </c>
      <c r="B31" s="71">
        <f>'Cash Flow'!B19</f>
        <v>1450</v>
      </c>
      <c r="C31" s="71">
        <f>'Cash Flow'!C19</f>
        <v>1466</v>
      </c>
      <c r="D31" s="71">
        <f>'Cash Flow'!D19</f>
        <v>1431</v>
      </c>
      <c r="E31" s="71">
        <f>'Cash Flow'!E19</f>
        <v>1418</v>
      </c>
      <c r="F31" s="71">
        <f>'Cash Flow'!F19</f>
        <v>1439</v>
      </c>
      <c r="G31" s="71">
        <f>'Cash Flow'!G19</f>
        <v>1488</v>
      </c>
      <c r="I31" s="75">
        <f>G31*(1+I15)</f>
        <v>1563.5904</v>
      </c>
      <c r="J31" s="75">
        <f>I31*(1+J15)</f>
        <v>1643.0207923200001</v>
      </c>
      <c r="K31" s="75">
        <f>J31*(1+K15)</f>
        <v>1726.4862485698559</v>
      </c>
    </row>
    <row r="32" spans="1:14" x14ac:dyDescent="0.2">
      <c r="A32" s="73" t="s">
        <v>293</v>
      </c>
      <c r="B32" s="75">
        <f>'Cash Flow'!B39</f>
        <v>-1003</v>
      </c>
      <c r="C32" s="75">
        <f>'Cash Flow'!C39</f>
        <v>-1171</v>
      </c>
      <c r="D32" s="75">
        <f>'Cash Flow'!D39</f>
        <v>-949</v>
      </c>
      <c r="E32" s="75">
        <f>'Cash Flow'!E39</f>
        <v>-971</v>
      </c>
      <c r="F32" s="75">
        <f>'Cash Flow'!F39</f>
        <v>-1108</v>
      </c>
      <c r="G32" s="75">
        <f>'Cash Flow'!G39</f>
        <v>-1247</v>
      </c>
      <c r="I32" s="75">
        <f>G32*(1+I15)</f>
        <v>-1310.3476000000001</v>
      </c>
      <c r="J32" s="75">
        <f>I32*(1+J15)</f>
        <v>-1376.9132580800001</v>
      </c>
      <c r="K32" s="75">
        <f>J32*(1+K15)</f>
        <v>-1446.860451590464</v>
      </c>
    </row>
    <row r="34" spans="1:11" x14ac:dyDescent="0.2">
      <c r="A34" s="5" t="s">
        <v>105</v>
      </c>
      <c r="B34" s="75">
        <f>'Cash Flow'!B20</f>
        <v>359</v>
      </c>
      <c r="C34" s="75">
        <f>'Cash Flow'!C20</f>
        <v>80</v>
      </c>
      <c r="D34" s="75">
        <f>'Cash Flow'!D20</f>
        <v>78</v>
      </c>
      <c r="E34" s="75">
        <f>'Cash Flow'!E20</f>
        <v>247</v>
      </c>
      <c r="F34" s="75">
        <f>'Cash Flow'!F20</f>
        <v>255</v>
      </c>
      <c r="G34" s="75">
        <f>'Cash Flow'!G20</f>
        <v>287</v>
      </c>
      <c r="I34" s="75">
        <f>G34*(1+I15)</f>
        <v>301.57959999999997</v>
      </c>
      <c r="J34" s="75">
        <f>I34*(1+J15)</f>
        <v>316.89984367999995</v>
      </c>
      <c r="K34" s="75">
        <f>J34*(1+K15)</f>
        <v>332.99835573894393</v>
      </c>
    </row>
    <row r="35" spans="1:11" x14ac:dyDescent="0.2">
      <c r="A35" s="5" t="s">
        <v>818</v>
      </c>
      <c r="B35" s="75">
        <f>'Cash Flow'!B43</f>
        <v>-201</v>
      </c>
      <c r="C35" s="75">
        <f>'Cash Flow'!C43</f>
        <v>-206</v>
      </c>
      <c r="D35" s="75">
        <f>'Cash Flow'!D43</f>
        <v>-229</v>
      </c>
      <c r="E35" s="75">
        <f>'Cash Flow'!E43</f>
        <v>-279</v>
      </c>
      <c r="F35" s="75">
        <f>'Cash Flow'!F43</f>
        <v>-278</v>
      </c>
      <c r="G35" s="75">
        <f>'Cash Flow'!G43</f>
        <v>-292</v>
      </c>
      <c r="I35" s="75">
        <f>G35*(1+I15)</f>
        <v>-306.83359999999999</v>
      </c>
      <c r="J35" s="75">
        <f>I35*(1+J15)</f>
        <v>-322.42074687999997</v>
      </c>
      <c r="K35" s="75">
        <f>J35*(1+K15)</f>
        <v>-338.79972082150397</v>
      </c>
    </row>
    <row r="36" spans="1:11" x14ac:dyDescent="0.2">
      <c r="A36" s="5"/>
      <c r="B36" s="75"/>
      <c r="C36" s="75"/>
      <c r="D36" s="75"/>
      <c r="E36" s="75"/>
      <c r="F36" s="75"/>
      <c r="G36" s="75"/>
      <c r="I36" s="75"/>
      <c r="J36" s="75"/>
      <c r="K36" s="75"/>
    </row>
    <row r="37" spans="1:11" x14ac:dyDescent="0.2">
      <c r="A37" s="5" t="s">
        <v>827</v>
      </c>
      <c r="B37" s="75">
        <f t="shared" ref="B37:G37" si="15">B133/B52*365</f>
        <v>1.0625537063991723</v>
      </c>
      <c r="C37" s="75">
        <f t="shared" si="15"/>
        <v>1.0857012877939529</v>
      </c>
      <c r="D37" s="75">
        <f t="shared" si="15"/>
        <v>0.95671024216547695</v>
      </c>
      <c r="E37" s="75">
        <f t="shared" si="15"/>
        <v>0.44597562484533532</v>
      </c>
      <c r="F37" s="75">
        <f t="shared" si="15"/>
        <v>0.19416901866327779</v>
      </c>
      <c r="G37" s="75">
        <f t="shared" si="15"/>
        <v>0.83348990475639895</v>
      </c>
      <c r="I37" s="75">
        <v>1</v>
      </c>
      <c r="J37" s="75">
        <v>1</v>
      </c>
      <c r="K37" s="75">
        <v>1</v>
      </c>
    </row>
    <row r="38" spans="1:11" x14ac:dyDescent="0.2">
      <c r="A38" s="5" t="s">
        <v>828</v>
      </c>
      <c r="B38" s="75">
        <f>IF(365/B37&gt;365,365,365/B37)</f>
        <v>343.51204819277103</v>
      </c>
      <c r="C38" s="75">
        <f t="shared" ref="C38:F38" si="16">IF(365/C37&gt;365,365,365/C37)</f>
        <v>336.18823529411765</v>
      </c>
      <c r="D38" s="75">
        <f t="shared" si="16"/>
        <v>365</v>
      </c>
      <c r="E38" s="75">
        <f t="shared" si="16"/>
        <v>365</v>
      </c>
      <c r="F38" s="75">
        <f t="shared" si="16"/>
        <v>365</v>
      </c>
      <c r="G38" s="75">
        <f>IF(365/G37&gt;365,365,365/G37)</f>
        <v>365</v>
      </c>
      <c r="I38" s="75">
        <f>365/I37</f>
        <v>365</v>
      </c>
      <c r="J38" s="75">
        <f t="shared" ref="J38:K38" si="17">365/J37</f>
        <v>365</v>
      </c>
      <c r="K38" s="75">
        <f t="shared" si="17"/>
        <v>365</v>
      </c>
    </row>
    <row r="40" spans="1:11" x14ac:dyDescent="0.2">
      <c r="A40" s="73" t="s">
        <v>903</v>
      </c>
      <c r="C40" s="183">
        <f>C109/B109-1</f>
        <v>-6.0408921933085447E-2</v>
      </c>
      <c r="D40" s="183">
        <f t="shared" ref="D40:G40" si="18">D109/C109-1</f>
        <v>1.2769535113748764</v>
      </c>
      <c r="E40" s="183">
        <f t="shared" si="18"/>
        <v>-0.13944396177237184</v>
      </c>
      <c r="F40" s="183">
        <f t="shared" si="18"/>
        <v>0.17819283190307922</v>
      </c>
      <c r="G40" s="183">
        <f t="shared" si="18"/>
        <v>1.7137960582690681E-2</v>
      </c>
      <c r="I40" s="183">
        <v>0.1</v>
      </c>
      <c r="J40" s="183">
        <v>0.1</v>
      </c>
      <c r="K40" s="183">
        <v>0.1</v>
      </c>
    </row>
    <row r="42" spans="1:11" x14ac:dyDescent="0.2">
      <c r="A42" s="73" t="s">
        <v>829</v>
      </c>
      <c r="B42" s="183"/>
      <c r="C42" s="99">
        <f>C134/B134-1</f>
        <v>0.52037617554858939</v>
      </c>
      <c r="D42" s="99">
        <f t="shared" ref="D42:G42" si="19">D134/C134-1</f>
        <v>-0.95670103092783509</v>
      </c>
      <c r="E42" s="99">
        <f t="shared" si="19"/>
        <v>3</v>
      </c>
      <c r="F42" s="99">
        <f t="shared" si="19"/>
        <v>-0.61904761904761907</v>
      </c>
      <c r="G42" s="99">
        <f t="shared" si="19"/>
        <v>0.46875</v>
      </c>
      <c r="H42" s="99"/>
      <c r="I42" s="99">
        <v>0.1</v>
      </c>
      <c r="J42" s="99">
        <v>0.1</v>
      </c>
      <c r="K42" s="99">
        <v>0.1</v>
      </c>
    </row>
    <row r="43" spans="1:11" x14ac:dyDescent="0.2">
      <c r="B43" s="183"/>
      <c r="C43" s="99"/>
      <c r="D43" s="99"/>
      <c r="E43" s="99"/>
      <c r="F43" s="99"/>
      <c r="G43" s="99"/>
      <c r="H43" s="99"/>
      <c r="I43" s="99"/>
      <c r="J43" s="99"/>
      <c r="K43" s="99"/>
    </row>
    <row r="44" spans="1:11" x14ac:dyDescent="0.2">
      <c r="A44" s="73" t="s">
        <v>830</v>
      </c>
      <c r="C44" s="99">
        <f>C136/B136-1</f>
        <v>-0.38709677419354838</v>
      </c>
      <c r="D44" s="99">
        <f t="shared" ref="D44:G44" si="20">D136/C136-1</f>
        <v>1.8490304709141276</v>
      </c>
      <c r="E44" s="99">
        <f t="shared" si="20"/>
        <v>-0.78050559066601843</v>
      </c>
      <c r="F44" s="99">
        <f t="shared" si="20"/>
        <v>5.4263565891472965E-2</v>
      </c>
      <c r="G44" s="99">
        <f t="shared" si="20"/>
        <v>-8.9285714285714302E-2</v>
      </c>
      <c r="I44" s="99">
        <v>0.1</v>
      </c>
      <c r="J44" s="99">
        <v>0.1</v>
      </c>
      <c r="K44" s="99">
        <v>0.1</v>
      </c>
    </row>
    <row r="45" spans="1:11" x14ac:dyDescent="0.2">
      <c r="C45" s="99"/>
      <c r="D45" s="99"/>
      <c r="E45" s="99"/>
      <c r="F45" s="99"/>
      <c r="G45" s="99"/>
      <c r="I45" s="99"/>
      <c r="J45" s="99"/>
      <c r="K45" s="99"/>
    </row>
    <row r="47" spans="1:11" ht="17" thickBot="1" x14ac:dyDescent="0.25">
      <c r="A47" s="174" t="s">
        <v>814</v>
      </c>
      <c r="B47" s="181"/>
      <c r="C47" s="181"/>
      <c r="D47" s="181"/>
      <c r="E47" s="181"/>
      <c r="F47" s="181"/>
      <c r="G47" s="181"/>
      <c r="H47" s="181"/>
      <c r="I47" s="181"/>
      <c r="J47" s="181"/>
      <c r="K47" s="181"/>
    </row>
    <row r="48" spans="1:11" ht="17" thickBot="1" x14ac:dyDescent="0.25">
      <c r="B48" s="257" t="s">
        <v>6</v>
      </c>
      <c r="C48" s="258"/>
      <c r="D48" s="258"/>
      <c r="E48" s="258"/>
      <c r="F48" s="258"/>
      <c r="G48" s="259"/>
      <c r="H48" s="91"/>
      <c r="I48" s="257" t="s">
        <v>790</v>
      </c>
      <c r="J48" s="258"/>
      <c r="K48" s="259"/>
    </row>
    <row r="49" spans="1:12" s="91" customFormat="1" x14ac:dyDescent="0.2">
      <c r="A49" s="135" t="str">
        <f>'Income Statement'!A15</f>
        <v xml:space="preserve">For the Fiscal Period Ending
</v>
      </c>
      <c r="B49" s="182">
        <v>2020</v>
      </c>
      <c r="C49" s="182">
        <v>2021</v>
      </c>
      <c r="D49" s="182">
        <v>2022</v>
      </c>
      <c r="E49" s="182">
        <v>2023</v>
      </c>
      <c r="F49" s="182">
        <v>2024</v>
      </c>
      <c r="G49" s="182">
        <v>2025</v>
      </c>
      <c r="H49" s="182"/>
      <c r="I49" s="28">
        <v>2026</v>
      </c>
      <c r="J49" s="28">
        <v>2027</v>
      </c>
      <c r="K49" s="28">
        <v>2028</v>
      </c>
    </row>
    <row r="50" spans="1:12" x14ac:dyDescent="0.2">
      <c r="A50" s="73" t="str">
        <f>'Income Statement'!A16</f>
        <v>Currency</v>
      </c>
      <c r="B50" s="122" t="str">
        <f>'Income Statement'!B16</f>
        <v>GBP</v>
      </c>
      <c r="C50" s="122" t="str">
        <f>'Income Statement'!C16</f>
        <v>GBP</v>
      </c>
      <c r="D50" s="122" t="str">
        <f>'Income Statement'!D16</f>
        <v>GBP</v>
      </c>
      <c r="E50" s="122" t="str">
        <f>'Income Statement'!E16</f>
        <v>GBP</v>
      </c>
      <c r="F50" s="122" t="str">
        <f>'Income Statement'!F16</f>
        <v>GBP</v>
      </c>
      <c r="G50" s="122" t="str">
        <f>'Income Statement'!G16</f>
        <v>GBP</v>
      </c>
      <c r="H50" s="122"/>
      <c r="I50" s="122" t="s">
        <v>24</v>
      </c>
      <c r="J50" s="122" t="s">
        <v>24</v>
      </c>
      <c r="K50" s="122" t="s">
        <v>24</v>
      </c>
    </row>
    <row r="51" spans="1:12" x14ac:dyDescent="0.2">
      <c r="B51" s="122"/>
      <c r="C51" s="122"/>
      <c r="D51" s="122"/>
      <c r="E51" s="122"/>
      <c r="F51" s="122"/>
      <c r="G51" s="122"/>
      <c r="H51" s="122"/>
    </row>
    <row r="52" spans="1:12" x14ac:dyDescent="0.2">
      <c r="A52" s="73" t="str">
        <f>'Income Statement'!A18</f>
        <v>Revenue</v>
      </c>
      <c r="B52" s="122">
        <f>'Income Statement'!B18</f>
        <v>57023</v>
      </c>
      <c r="C52" s="122">
        <f>'Income Statement'!C18</f>
        <v>57152</v>
      </c>
      <c r="D52" s="122">
        <f>'Income Statement'!D18</f>
        <v>60661</v>
      </c>
      <c r="E52" s="122">
        <f>'Income Statement'!E18</f>
        <v>64656</v>
      </c>
      <c r="F52" s="122">
        <f>'Income Statement'!F18</f>
        <v>67673</v>
      </c>
      <c r="G52" s="122">
        <f>'Income Statement'!G18</f>
        <v>69191</v>
      </c>
      <c r="H52" s="122"/>
      <c r="I52" s="75">
        <f>G52*(1+I$15)</f>
        <v>72705.902799999996</v>
      </c>
      <c r="J52" s="75">
        <f t="shared" ref="J52:K56" si="21">I52*(1+J$15)</f>
        <v>76399.36266223999</v>
      </c>
      <c r="K52" s="75">
        <f t="shared" si="21"/>
        <v>80280.450285481784</v>
      </c>
    </row>
    <row r="53" spans="1:12" x14ac:dyDescent="0.2">
      <c r="A53" s="73" t="str">
        <f>'Income Statement'!A19</f>
        <v>Finance Div. Revenue</v>
      </c>
      <c r="B53" s="122">
        <f>'Income Statement'!B19</f>
        <v>1068</v>
      </c>
      <c r="C53" s="122">
        <f>'Income Statement'!C19</f>
        <v>735</v>
      </c>
      <c r="D53" s="122">
        <f>'Income Statement'!D19</f>
        <v>683</v>
      </c>
      <c r="E53" s="122">
        <f>'Income Statement'!E19</f>
        <v>208</v>
      </c>
      <c r="F53" s="122">
        <f>'Income Statement'!F19</f>
        <v>0</v>
      </c>
      <c r="G53" s="122">
        <f>'Income Statement'!G19</f>
        <v>0</v>
      </c>
      <c r="H53" s="122"/>
      <c r="I53" s="75">
        <f>G53*(1+I$15)</f>
        <v>0</v>
      </c>
      <c r="J53" s="75">
        <f t="shared" si="21"/>
        <v>0</v>
      </c>
      <c r="K53" s="75">
        <f t="shared" si="21"/>
        <v>0</v>
      </c>
    </row>
    <row r="54" spans="1:12" x14ac:dyDescent="0.2">
      <c r="A54" s="73" t="str">
        <f>'Income Statement'!A20</f>
        <v>Insurance Div. Revenue</v>
      </c>
      <c r="B54" s="122">
        <f>'Income Statement'!B20</f>
        <v>0</v>
      </c>
      <c r="C54" s="122">
        <f>'Income Statement'!C20</f>
        <v>0</v>
      </c>
      <c r="D54" s="122">
        <f>'Income Statement'!D20</f>
        <v>0</v>
      </c>
      <c r="E54" s="122">
        <f>'Income Statement'!E20</f>
        <v>458</v>
      </c>
      <c r="F54" s="122">
        <f>'Income Statement'!F20</f>
        <v>514</v>
      </c>
      <c r="G54" s="122">
        <f>'Income Statement'!G20</f>
        <v>725</v>
      </c>
      <c r="H54" s="122"/>
      <c r="I54" s="75">
        <f>G54*(1+I$15)</f>
        <v>761.82999999999993</v>
      </c>
      <c r="J54" s="75">
        <f t="shared" si="21"/>
        <v>800.53096399999993</v>
      </c>
      <c r="K54" s="75">
        <f t="shared" si="21"/>
        <v>841.19793697119985</v>
      </c>
    </row>
    <row r="55" spans="1:12" x14ac:dyDescent="0.2">
      <c r="A55" s="73" t="str">
        <f>'Income Statement'!A21</f>
        <v>Other Revenue</v>
      </c>
      <c r="B55" s="122">
        <f>'Income Statement'!B21</f>
        <v>0</v>
      </c>
      <c r="C55" s="122">
        <f>'Income Statement'!C21</f>
        <v>0</v>
      </c>
      <c r="D55" s="122">
        <f>'Income Statement'!D21</f>
        <v>0</v>
      </c>
      <c r="E55" s="122">
        <f>'Income Statement'!E21</f>
        <v>0</v>
      </c>
      <c r="F55" s="122">
        <f>'Income Statement'!F21</f>
        <v>0</v>
      </c>
      <c r="G55" s="122">
        <f>'Income Statement'!G21</f>
        <v>0</v>
      </c>
      <c r="H55" s="122"/>
      <c r="I55" s="75">
        <f>G55*(1+I$15)</f>
        <v>0</v>
      </c>
      <c r="J55" s="75">
        <f t="shared" si="21"/>
        <v>0</v>
      </c>
      <c r="K55" s="75">
        <f t="shared" si="21"/>
        <v>0</v>
      </c>
    </row>
    <row r="56" spans="1:12" x14ac:dyDescent="0.2">
      <c r="A56" s="73" t="str">
        <f>'Income Statement'!A22</f>
        <v xml:space="preserve">  Total Revenue</v>
      </c>
      <c r="B56" s="122">
        <f>'Income Statement'!B22</f>
        <v>58091</v>
      </c>
      <c r="C56" s="122">
        <f>'Income Statement'!C22</f>
        <v>57887</v>
      </c>
      <c r="D56" s="122">
        <f>'Income Statement'!D22</f>
        <v>61344</v>
      </c>
      <c r="E56" s="122">
        <f>'Income Statement'!E22</f>
        <v>65322</v>
      </c>
      <c r="F56" s="122">
        <f>'Income Statement'!F22</f>
        <v>68187</v>
      </c>
      <c r="G56" s="122">
        <f>'Income Statement'!G22</f>
        <v>69916</v>
      </c>
      <c r="H56" s="122"/>
      <c r="I56" s="75">
        <f>G56*(1+I$15)</f>
        <v>73467.732799999998</v>
      </c>
      <c r="J56" s="75">
        <f t="shared" si="21"/>
        <v>77199.893626239995</v>
      </c>
      <c r="K56" s="75">
        <f t="shared" si="21"/>
        <v>81121.64822245299</v>
      </c>
      <c r="L56" s="75"/>
    </row>
    <row r="57" spans="1:12" x14ac:dyDescent="0.2">
      <c r="B57" s="122"/>
      <c r="C57" s="122"/>
      <c r="D57" s="122"/>
      <c r="E57" s="122"/>
      <c r="F57" s="122"/>
      <c r="G57" s="122"/>
      <c r="H57" s="122"/>
      <c r="I57" s="75"/>
      <c r="J57" s="75"/>
      <c r="K57" s="75"/>
    </row>
    <row r="58" spans="1:12" x14ac:dyDescent="0.2">
      <c r="A58" s="73" t="str">
        <f>'Income Statement'!A24</f>
        <v>Cost Of Goods Sold</v>
      </c>
      <c r="B58" s="122">
        <f>'Income Statement'!B24</f>
        <v>53377</v>
      </c>
      <c r="C58" s="122">
        <f>'Income Statement'!C24</f>
        <v>53734</v>
      </c>
      <c r="D58" s="122">
        <f>'Income Statement'!D24</f>
        <v>56511</v>
      </c>
      <c r="E58" s="122">
        <f>'Income Statement'!E24</f>
        <v>60412</v>
      </c>
      <c r="F58" s="122">
        <f>'Income Statement'!F24</f>
        <v>62826</v>
      </c>
      <c r="G58" s="122">
        <f>'Income Statement'!G24</f>
        <v>63893</v>
      </c>
      <c r="H58" s="122"/>
      <c r="I58" s="75">
        <f>I62/G62*G58</f>
        <v>71016.059393915275</v>
      </c>
      <c r="J58" s="75">
        <f>J62/I62*I58</f>
        <v>74623.675211126174</v>
      </c>
      <c r="K58" s="75">
        <f>K62/J62*J58</f>
        <v>78414.557911851385</v>
      </c>
    </row>
    <row r="59" spans="1:12" x14ac:dyDescent="0.2">
      <c r="A59" s="73" t="str">
        <f>'Income Statement'!A25</f>
        <v>Finance Div. Operating Exp.</v>
      </c>
      <c r="B59" s="122">
        <f>'Income Statement'!B25</f>
        <v>709</v>
      </c>
      <c r="C59" s="122">
        <f>'Income Statement'!C25</f>
        <v>467</v>
      </c>
      <c r="D59" s="122">
        <f>'Income Statement'!D25</f>
        <v>556</v>
      </c>
      <c r="E59" s="122">
        <f>'Income Statement'!E25</f>
        <v>170</v>
      </c>
      <c r="F59" s="122">
        <f>'Income Statement'!F25</f>
        <v>0</v>
      </c>
      <c r="G59" s="122">
        <f>'Income Statement'!G25</f>
        <v>0</v>
      </c>
      <c r="H59" s="122"/>
      <c r="I59" s="75">
        <f>I62/G62*G59</f>
        <v>0</v>
      </c>
      <c r="J59" s="75">
        <f>J62/I62*I59</f>
        <v>0</v>
      </c>
      <c r="K59" s="75">
        <f>K62/J62*J59</f>
        <v>0</v>
      </c>
    </row>
    <row r="60" spans="1:12" x14ac:dyDescent="0.2">
      <c r="A60" s="73" t="str">
        <f>'Income Statement'!A26</f>
        <v>Insurance Div. Operating Exp.</v>
      </c>
      <c r="B60" s="122">
        <f>'Income Statement'!B26</f>
        <v>0</v>
      </c>
      <c r="C60" s="122">
        <f>'Income Statement'!C26</f>
        <v>0</v>
      </c>
      <c r="D60" s="122">
        <f>'Income Statement'!D26</f>
        <v>0</v>
      </c>
      <c r="E60" s="122">
        <f>'Income Statement'!E26</f>
        <v>448</v>
      </c>
      <c r="F60" s="122">
        <f>'Income Statement'!F26</f>
        <v>508</v>
      </c>
      <c r="G60" s="122">
        <f>'Income Statement'!G26</f>
        <v>669</v>
      </c>
      <c r="H60" s="122"/>
      <c r="I60" s="75">
        <f>I62/G62*G60</f>
        <v>743.58292355233471</v>
      </c>
      <c r="J60" s="75">
        <f>J62/I62*I60</f>
        <v>781.35693606879329</v>
      </c>
      <c r="K60" s="75">
        <f>K62/J62*J60</f>
        <v>821.04986842108792</v>
      </c>
    </row>
    <row r="61" spans="1:12" x14ac:dyDescent="0.2">
      <c r="A61" s="73" t="str">
        <f>'Income Statement'!A27</f>
        <v>Interest Expense - Finance Division</v>
      </c>
      <c r="B61" s="122">
        <f>'Income Statement'!B27</f>
        <v>166</v>
      </c>
      <c r="C61" s="122">
        <f>'Income Statement'!C27</f>
        <v>83</v>
      </c>
      <c r="D61" s="122">
        <f>'Income Statement'!D27</f>
        <v>42</v>
      </c>
      <c r="E61" s="122">
        <f>'Income Statement'!E27</f>
        <v>42</v>
      </c>
      <c r="F61" s="122">
        <f>'Income Statement'!F27</f>
        <v>0</v>
      </c>
      <c r="G61" s="122">
        <f>'Income Statement'!G27</f>
        <v>0</v>
      </c>
      <c r="H61" s="122"/>
      <c r="I61" s="75">
        <f>I62/G62*G61</f>
        <v>0</v>
      </c>
      <c r="J61" s="75">
        <f>J62/I62*I61</f>
        <v>0</v>
      </c>
      <c r="K61" s="75">
        <f>K62/J62*J61</f>
        <v>0</v>
      </c>
    </row>
    <row r="62" spans="1:12" x14ac:dyDescent="0.2">
      <c r="A62" s="73" t="str">
        <f>'Income Statement'!A28</f>
        <v xml:space="preserve">  Gross Profit</v>
      </c>
      <c r="B62" s="122">
        <f>'Income Statement'!B28</f>
        <v>3839</v>
      </c>
      <c r="C62" s="122">
        <f>'Income Statement'!C28</f>
        <v>3603</v>
      </c>
      <c r="D62" s="122">
        <f>'Income Statement'!D28</f>
        <v>4235</v>
      </c>
      <c r="E62" s="122">
        <f>'Income Statement'!E28</f>
        <v>4250</v>
      </c>
      <c r="F62" s="122">
        <f>'Income Statement'!F28</f>
        <v>4853</v>
      </c>
      <c r="G62" s="122">
        <f>'Income Statement'!G28</f>
        <v>5354</v>
      </c>
      <c r="H62" s="122"/>
      <c r="I62" s="75">
        <f>I16*I56</f>
        <v>5950.8863567999997</v>
      </c>
      <c r="J62" s="75">
        <f>J16*J56</f>
        <v>6253.1913837254397</v>
      </c>
      <c r="K62" s="75">
        <f>K16*K56</f>
        <v>6570.8535060186923</v>
      </c>
    </row>
    <row r="63" spans="1:12" x14ac:dyDescent="0.2">
      <c r="B63" s="122"/>
      <c r="C63" s="122"/>
      <c r="D63" s="122"/>
      <c r="E63" s="122"/>
      <c r="F63" s="122"/>
      <c r="G63" s="122"/>
      <c r="H63" s="122"/>
      <c r="I63" s="75"/>
      <c r="J63" s="75"/>
      <c r="K63" s="75"/>
    </row>
    <row r="64" spans="1:12" x14ac:dyDescent="0.2">
      <c r="A64" s="73" t="str">
        <f>'Income Statement'!A30</f>
        <v>Selling General &amp; Admin Exp.</v>
      </c>
      <c r="B64" s="122">
        <f>'Income Statement'!B30</f>
        <v>1212</v>
      </c>
      <c r="C64" s="122">
        <f>'Income Statement'!C30</f>
        <v>1430</v>
      </c>
      <c r="D64" s="122">
        <f>'Income Statement'!D30</f>
        <v>1404</v>
      </c>
      <c r="E64" s="122">
        <f>'Income Statement'!E30</f>
        <v>1655</v>
      </c>
      <c r="F64" s="122">
        <f>'Income Statement'!F30</f>
        <v>2034</v>
      </c>
      <c r="G64" s="122">
        <f>'Income Statement'!G30</f>
        <v>2355</v>
      </c>
      <c r="H64" s="122"/>
      <c r="I64" s="75">
        <f>G64*(1+I$17)</f>
        <v>2437.4249999999997</v>
      </c>
      <c r="J64" s="75">
        <f t="shared" ref="J64:K67" si="22">I64*(1+J$17)</f>
        <v>2522.7348749999996</v>
      </c>
      <c r="K64" s="75">
        <f t="shared" si="22"/>
        <v>2611.0305956249995</v>
      </c>
    </row>
    <row r="65" spans="1:12" x14ac:dyDescent="0.2">
      <c r="A65" s="73" t="str">
        <f>'Income Statement'!A32</f>
        <v>Depreciation &amp; Amort.</v>
      </c>
      <c r="B65" s="122">
        <f>'Income Statement'!B32</f>
        <v>0</v>
      </c>
      <c r="C65" s="122">
        <f>'Income Statement'!C32</f>
        <v>0</v>
      </c>
      <c r="D65" s="122">
        <f>'Income Statement'!D32</f>
        <v>0</v>
      </c>
      <c r="E65" s="122">
        <f>'Income Statement'!E32</f>
        <v>0</v>
      </c>
      <c r="F65" s="122">
        <f>'Income Statement'!F32</f>
        <v>0</v>
      </c>
      <c r="G65" s="122">
        <f>'Income Statement'!G32</f>
        <v>0</v>
      </c>
      <c r="H65" s="122"/>
      <c r="I65" s="75">
        <f>G65*(1+I$17)</f>
        <v>0</v>
      </c>
      <c r="J65" s="75">
        <f t="shared" si="22"/>
        <v>0</v>
      </c>
      <c r="K65" s="75">
        <f t="shared" si="22"/>
        <v>0</v>
      </c>
    </row>
    <row r="66" spans="1:12" x14ac:dyDescent="0.2">
      <c r="A66" s="73" t="str">
        <f>'Income Statement'!A33</f>
        <v>Amort. of Goodwill and Intangibles</v>
      </c>
      <c r="B66" s="122">
        <f>'Income Statement'!B33</f>
        <v>0</v>
      </c>
      <c r="C66" s="122">
        <f>'Income Statement'!C33</f>
        <v>0</v>
      </c>
      <c r="D66" s="122">
        <f>'Income Statement'!D33</f>
        <v>0</v>
      </c>
      <c r="E66" s="122">
        <f>'Income Statement'!E33</f>
        <v>0</v>
      </c>
      <c r="F66" s="122">
        <f>'Income Statement'!F33</f>
        <v>0</v>
      </c>
      <c r="G66" s="122">
        <f>'Income Statement'!G33</f>
        <v>0</v>
      </c>
      <c r="H66" s="122"/>
      <c r="I66" s="75">
        <f>G66*(1+I$17)</f>
        <v>0</v>
      </c>
      <c r="J66" s="75">
        <f t="shared" si="22"/>
        <v>0</v>
      </c>
      <c r="K66" s="75">
        <f t="shared" si="22"/>
        <v>0</v>
      </c>
    </row>
    <row r="67" spans="1:12" x14ac:dyDescent="0.2">
      <c r="A67" s="73" t="str">
        <f>'Income Statement'!A34</f>
        <v>Other Operating Expense/(Income)</v>
      </c>
      <c r="B67" s="122">
        <f>'Income Statement'!B34</f>
        <v>0</v>
      </c>
      <c r="C67" s="122">
        <f>'Income Statement'!C34</f>
        <v>384</v>
      </c>
      <c r="D67" s="122">
        <f>'Income Statement'!D34</f>
        <v>-39</v>
      </c>
      <c r="E67" s="122">
        <f>'Income Statement'!E34</f>
        <v>0</v>
      </c>
      <c r="F67" s="122">
        <f>'Income Statement'!F34</f>
        <v>0</v>
      </c>
      <c r="G67" s="122">
        <f>'Income Statement'!G34</f>
        <v>0</v>
      </c>
      <c r="H67" s="122"/>
      <c r="I67" s="75">
        <f>G67*(1+I$17)</f>
        <v>0</v>
      </c>
      <c r="J67" s="75">
        <f t="shared" si="22"/>
        <v>0</v>
      </c>
      <c r="K67" s="75">
        <f t="shared" si="22"/>
        <v>0</v>
      </c>
    </row>
    <row r="68" spans="1:12" x14ac:dyDescent="0.2">
      <c r="B68" s="122"/>
      <c r="C68" s="122"/>
      <c r="D68" s="122"/>
      <c r="E68" s="122"/>
      <c r="F68" s="122"/>
      <c r="G68" s="122"/>
      <c r="H68" s="122"/>
      <c r="I68" s="75"/>
      <c r="J68" s="75"/>
      <c r="K68" s="75"/>
    </row>
    <row r="69" spans="1:12" x14ac:dyDescent="0.2">
      <c r="A69" s="73" t="str">
        <f>'Income Statement'!A36</f>
        <v xml:space="preserve">  Other Operating Exp., Total</v>
      </c>
      <c r="B69" s="122">
        <f>'Income Statement'!B36</f>
        <v>1212</v>
      </c>
      <c r="C69" s="122">
        <f>'Income Statement'!C36</f>
        <v>1814</v>
      </c>
      <c r="D69" s="122">
        <f>'Income Statement'!D36</f>
        <v>1365</v>
      </c>
      <c r="E69" s="122">
        <f>'Income Statement'!E36</f>
        <v>1655</v>
      </c>
      <c r="F69" s="122">
        <f>'Income Statement'!F36</f>
        <v>2034</v>
      </c>
      <c r="G69" s="122">
        <f>'Income Statement'!G36</f>
        <v>2355</v>
      </c>
      <c r="H69" s="122"/>
      <c r="I69" s="75">
        <f>G69*(1+I$17)</f>
        <v>2437.4249999999997</v>
      </c>
      <c r="J69" s="75">
        <f>I69*(1+J$17)</f>
        <v>2522.7348749999996</v>
      </c>
      <c r="K69" s="75">
        <f>J69*(1+K$17)</f>
        <v>2611.0305956249995</v>
      </c>
    </row>
    <row r="70" spans="1:12" x14ac:dyDescent="0.2">
      <c r="B70" s="122"/>
      <c r="C70" s="122"/>
      <c r="D70" s="122"/>
      <c r="E70" s="122"/>
      <c r="F70" s="122"/>
      <c r="G70" s="122"/>
      <c r="H70" s="122"/>
      <c r="I70" s="75"/>
      <c r="J70" s="75"/>
      <c r="K70" s="75"/>
    </row>
    <row r="71" spans="1:12" x14ac:dyDescent="0.2">
      <c r="A71" s="73" t="str">
        <f>'Income Statement'!A38</f>
        <v xml:space="preserve">  Operating Income</v>
      </c>
      <c r="B71" s="122">
        <f>'Income Statement'!B38</f>
        <v>2627</v>
      </c>
      <c r="C71" s="122">
        <f>'Income Statement'!C38</f>
        <v>1789</v>
      </c>
      <c r="D71" s="122">
        <f>'Income Statement'!D38</f>
        <v>2870</v>
      </c>
      <c r="E71" s="122">
        <f>'Income Statement'!E38</f>
        <v>2595</v>
      </c>
      <c r="F71" s="122">
        <f>'Income Statement'!F38</f>
        <v>2819</v>
      </c>
      <c r="G71" s="122">
        <f>'Income Statement'!G38</f>
        <v>2999</v>
      </c>
      <c r="H71" s="122"/>
      <c r="I71" s="75">
        <f>I62-I69</f>
        <v>3513.4613568</v>
      </c>
      <c r="J71" s="75">
        <f>J62-J69</f>
        <v>3730.45650872544</v>
      </c>
      <c r="K71" s="75">
        <f>K62-K69</f>
        <v>3959.8229103936928</v>
      </c>
    </row>
    <row r="72" spans="1:12" x14ac:dyDescent="0.2">
      <c r="B72" s="122"/>
      <c r="C72" s="122"/>
      <c r="D72" s="122"/>
      <c r="E72" s="122"/>
      <c r="F72" s="122"/>
      <c r="G72" s="122"/>
      <c r="H72" s="122"/>
      <c r="I72" s="75"/>
      <c r="J72" s="75"/>
      <c r="K72" s="75"/>
    </row>
    <row r="73" spans="1:12" x14ac:dyDescent="0.2">
      <c r="A73" s="73" t="str">
        <f>'Income Statement'!A40</f>
        <v>Interest Expense</v>
      </c>
      <c r="B73" s="122">
        <f>'Income Statement'!B40</f>
        <v>-722</v>
      </c>
      <c r="C73" s="122">
        <f>'Income Statement'!C40</f>
        <v>-701</v>
      </c>
      <c r="D73" s="122">
        <f>'Income Statement'!D40</f>
        <v>-652</v>
      </c>
      <c r="E73" s="122">
        <f>'Income Statement'!E40</f>
        <v>-709</v>
      </c>
      <c r="F73" s="122">
        <f>'Income Statement'!F40</f>
        <v>-807</v>
      </c>
      <c r="G73" s="122">
        <f>'Income Statement'!G40</f>
        <v>-769</v>
      </c>
      <c r="H73" s="122"/>
      <c r="I73" s="75">
        <v>-1160</v>
      </c>
      <c r="J73" s="75">
        <v>-1271</v>
      </c>
      <c r="K73" s="75">
        <v>-1361</v>
      </c>
    </row>
    <row r="74" spans="1:12" x14ac:dyDescent="0.2">
      <c r="A74" s="73" t="str">
        <f>'Income Statement'!A41</f>
        <v>Interest and Invest. Income</v>
      </c>
      <c r="B74" s="122">
        <f>'Income Statement'!B41</f>
        <v>16</v>
      </c>
      <c r="C74" s="122">
        <f>'Income Statement'!C41</f>
        <v>15</v>
      </c>
      <c r="D74" s="122">
        <f>'Income Statement'!D41</f>
        <v>9</v>
      </c>
      <c r="E74" s="122">
        <f>'Income Statement'!E41</f>
        <v>85</v>
      </c>
      <c r="F74" s="122">
        <f>'Income Statement'!F41</f>
        <v>266</v>
      </c>
      <c r="G74" s="122">
        <f>'Income Statement'!G41</f>
        <v>252</v>
      </c>
      <c r="H74" s="122"/>
      <c r="I74" s="75">
        <v>300</v>
      </c>
      <c r="J74" s="75">
        <v>300</v>
      </c>
      <c r="K74" s="75">
        <v>300</v>
      </c>
    </row>
    <row r="75" spans="1:12" x14ac:dyDescent="0.2">
      <c r="A75" s="73" t="str">
        <f>'Income Statement'!A42</f>
        <v xml:space="preserve">  Net Interest Exp.</v>
      </c>
      <c r="B75" s="122">
        <f>'Income Statement'!B42</f>
        <v>-706</v>
      </c>
      <c r="C75" s="122">
        <f>'Income Statement'!C42</f>
        <v>-686</v>
      </c>
      <c r="D75" s="122">
        <f>'Income Statement'!D42</f>
        <v>-643</v>
      </c>
      <c r="E75" s="122">
        <f>'Income Statement'!E42</f>
        <v>-624</v>
      </c>
      <c r="F75" s="122">
        <f>'Income Statement'!F42</f>
        <v>-541</v>
      </c>
      <c r="G75" s="122">
        <f>'Income Statement'!G42</f>
        <v>-517</v>
      </c>
      <c r="H75" s="122"/>
      <c r="I75" s="75">
        <f>I73+I74</f>
        <v>-860</v>
      </c>
      <c r="J75" s="75">
        <f t="shared" ref="J75:K75" si="23">J73+J74</f>
        <v>-971</v>
      </c>
      <c r="K75" s="75">
        <f t="shared" si="23"/>
        <v>-1061</v>
      </c>
    </row>
    <row r="76" spans="1:12" x14ac:dyDescent="0.2">
      <c r="B76" s="122"/>
      <c r="C76" s="122"/>
      <c r="D76" s="122"/>
      <c r="E76" s="122"/>
      <c r="F76" s="122"/>
      <c r="G76" s="122"/>
      <c r="H76" s="122"/>
      <c r="I76" s="75"/>
      <c r="J76" s="75"/>
      <c r="K76" s="75"/>
    </row>
    <row r="77" spans="1:12" x14ac:dyDescent="0.2">
      <c r="A77" s="73" t="str">
        <f>'Income Statement'!A44</f>
        <v>Income/(Loss) from Affiliates</v>
      </c>
      <c r="B77" s="122">
        <f>'Income Statement'!B44</f>
        <v>-8</v>
      </c>
      <c r="C77" s="122">
        <f>'Income Statement'!C44</f>
        <v>26</v>
      </c>
      <c r="D77" s="122">
        <f>'Income Statement'!D44</f>
        <v>15</v>
      </c>
      <c r="E77" s="122">
        <f>'Income Statement'!E44</f>
        <v>8</v>
      </c>
      <c r="F77" s="122">
        <f>'Income Statement'!F44</f>
        <v>6</v>
      </c>
      <c r="G77" s="122">
        <f>'Income Statement'!G44</f>
        <v>-4</v>
      </c>
      <c r="H77" s="122"/>
      <c r="I77" s="75">
        <f>G77/G56*I56</f>
        <v>-4.2031999999999998</v>
      </c>
      <c r="J77" s="75">
        <f>I77/I56*J56</f>
        <v>-4.4167225599999993</v>
      </c>
      <c r="K77" s="75">
        <f>J77/J56*K56</f>
        <v>-4.6410920660479995</v>
      </c>
    </row>
    <row r="78" spans="1:12" x14ac:dyDescent="0.2">
      <c r="A78" s="73" t="str">
        <f>'Income Statement'!A45</f>
        <v>Other Non-Operating Inc. (Exp.)</v>
      </c>
      <c r="B78" s="122">
        <f>'Income Statement'!B45</f>
        <v>-177</v>
      </c>
      <c r="C78" s="122">
        <f>'Income Statement'!C45</f>
        <v>-48</v>
      </c>
      <c r="D78" s="122">
        <f>'Income Statement'!D45</f>
        <v>123</v>
      </c>
      <c r="E78" s="122">
        <f>'Income Statement'!E45</f>
        <v>-51</v>
      </c>
      <c r="F78" s="122">
        <f>'Income Statement'!F45</f>
        <v>27</v>
      </c>
      <c r="G78" s="122">
        <f>'Income Statement'!G45</f>
        <v>66</v>
      </c>
      <c r="H78" s="122"/>
      <c r="I78" s="75">
        <f>G78/G56*I56</f>
        <v>69.352800000000002</v>
      </c>
      <c r="J78" s="75">
        <f>I78/I56*J56</f>
        <v>72.875922239999994</v>
      </c>
      <c r="K78" s="75">
        <f>J78/J56*K56</f>
        <v>76.578019089791994</v>
      </c>
    </row>
    <row r="79" spans="1:12" x14ac:dyDescent="0.2">
      <c r="A79" s="73" t="str">
        <f>'Income Statement'!A46</f>
        <v xml:space="preserve">  EBT Excl. Unusual Items</v>
      </c>
      <c r="B79" s="122">
        <f>'Income Statement'!B46</f>
        <v>1736</v>
      </c>
      <c r="C79" s="122">
        <f>'Income Statement'!C46</f>
        <v>1081</v>
      </c>
      <c r="D79" s="122">
        <f>'Income Statement'!D46</f>
        <v>2365</v>
      </c>
      <c r="E79" s="122">
        <f>'Income Statement'!E46</f>
        <v>1928</v>
      </c>
      <c r="F79" s="122">
        <f>'Income Statement'!F46</f>
        <v>2311</v>
      </c>
      <c r="G79" s="122">
        <f>'Income Statement'!G46</f>
        <v>2544</v>
      </c>
      <c r="H79" s="122"/>
      <c r="I79" s="75">
        <f>SUM(I71,I75,I77:I78)</f>
        <v>2718.6109568000002</v>
      </c>
      <c r="J79" s="75">
        <f t="shared" ref="J79:K79" si="24">SUM(J71,J75,J77:J78)</f>
        <v>2827.91570840544</v>
      </c>
      <c r="K79" s="75">
        <f t="shared" si="24"/>
        <v>2970.7598374174372</v>
      </c>
      <c r="L79" s="75"/>
    </row>
    <row r="80" spans="1:12" x14ac:dyDescent="0.2">
      <c r="B80" s="122"/>
      <c r="C80" s="122"/>
      <c r="D80" s="122"/>
      <c r="E80" s="122"/>
      <c r="F80" s="122"/>
      <c r="G80" s="122"/>
      <c r="H80" s="122"/>
      <c r="I80" s="75"/>
      <c r="J80" s="75"/>
      <c r="K80" s="75"/>
    </row>
    <row r="81" spans="1:11" x14ac:dyDescent="0.2">
      <c r="A81" s="73" t="str">
        <f>'Income Statement'!A48</f>
        <v>Restructuring Charges</v>
      </c>
      <c r="B81" s="122">
        <f>'Income Statement'!B48</f>
        <v>-108</v>
      </c>
      <c r="C81" s="122">
        <f>'Income Statement'!C48</f>
        <v>0</v>
      </c>
      <c r="D81" s="122">
        <f>'Income Statement'!D48</f>
        <v>-44</v>
      </c>
      <c r="E81" s="122">
        <f>'Income Statement'!E48</f>
        <v>-132</v>
      </c>
      <c r="F81" s="122">
        <f>'Income Statement'!F48</f>
        <v>-50</v>
      </c>
      <c r="G81" s="122">
        <f>'Income Statement'!G48</f>
        <v>-43</v>
      </c>
      <c r="H81" s="122"/>
      <c r="I81" s="75">
        <f>$G81/$G$56*$I$56</f>
        <v>-45.184399999999997</v>
      </c>
      <c r="J81" s="75">
        <f>$I81/$I$56*$J$56</f>
        <v>-47.479767519999996</v>
      </c>
      <c r="K81" s="75">
        <f>$J81/$J$56*$K$56</f>
        <v>-49.891739710015997</v>
      </c>
    </row>
    <row r="82" spans="1:11" x14ac:dyDescent="0.2">
      <c r="A82" s="73" t="str">
        <f>'Income Statement'!A49</f>
        <v>Merger &amp; Related Restruct. Charges</v>
      </c>
      <c r="B82" s="122">
        <f>'Income Statement'!B49</f>
        <v>-23</v>
      </c>
      <c r="C82" s="122">
        <f>'Income Statement'!C49</f>
        <v>-25</v>
      </c>
      <c r="D82" s="122">
        <f>'Income Statement'!D49</f>
        <v>0</v>
      </c>
      <c r="E82" s="122">
        <f>'Income Statement'!E49</f>
        <v>0</v>
      </c>
      <c r="F82" s="122">
        <f>'Income Statement'!F49</f>
        <v>0</v>
      </c>
      <c r="G82" s="122">
        <f>'Income Statement'!G49</f>
        <v>0</v>
      </c>
      <c r="H82" s="122"/>
      <c r="I82" s="75">
        <f t="shared" ref="I82:I89" si="25">$G82/$G$56*$I$56</f>
        <v>0</v>
      </c>
      <c r="J82" s="75">
        <f t="shared" ref="J82:J89" si="26">$I82/$I$56*$J$56</f>
        <v>0</v>
      </c>
      <c r="K82" s="75">
        <f t="shared" ref="K82:K89" si="27">$J82/$J$56*$K$56</f>
        <v>0</v>
      </c>
    </row>
    <row r="83" spans="1:11" x14ac:dyDescent="0.2">
      <c r="A83" s="73" t="str">
        <f>'Income Statement'!A50</f>
        <v>Impairment of Goodwill</v>
      </c>
      <c r="B83" s="122">
        <f>'Income Statement'!B50</f>
        <v>0</v>
      </c>
      <c r="C83" s="122">
        <f>'Income Statement'!C50</f>
        <v>-295</v>
      </c>
      <c r="D83" s="122">
        <f>'Income Statement'!D50</f>
        <v>0</v>
      </c>
      <c r="E83" s="122">
        <f>'Income Statement'!E50</f>
        <v>0</v>
      </c>
      <c r="F83" s="122">
        <f>'Income Statement'!F50</f>
        <v>0</v>
      </c>
      <c r="G83" s="122">
        <f>'Income Statement'!G50</f>
        <v>0</v>
      </c>
      <c r="H83" s="122"/>
      <c r="I83" s="75">
        <f t="shared" si="25"/>
        <v>0</v>
      </c>
      <c r="J83" s="75">
        <f t="shared" si="26"/>
        <v>0</v>
      </c>
      <c r="K83" s="75">
        <f t="shared" si="27"/>
        <v>0</v>
      </c>
    </row>
    <row r="84" spans="1:11" x14ac:dyDescent="0.2">
      <c r="A84" s="73" t="str">
        <f>'Income Statement'!A51</f>
        <v>Gain (Loss) On Sale Of Invest.</v>
      </c>
      <c r="B84" s="122">
        <f>'Income Statement'!B51</f>
        <v>-183</v>
      </c>
      <c r="C84" s="122">
        <f>'Income Statement'!C51</f>
        <v>0</v>
      </c>
      <c r="D84" s="122">
        <f>'Income Statement'!D51</f>
        <v>0</v>
      </c>
      <c r="E84" s="122">
        <f>'Income Statement'!E51</f>
        <v>0</v>
      </c>
      <c r="F84" s="122">
        <f>'Income Statement'!F51</f>
        <v>0</v>
      </c>
      <c r="G84" s="122">
        <f>'Income Statement'!G51</f>
        <v>0</v>
      </c>
      <c r="H84" s="122"/>
      <c r="I84" s="75">
        <f t="shared" si="25"/>
        <v>0</v>
      </c>
      <c r="J84" s="75">
        <f t="shared" si="26"/>
        <v>0</v>
      </c>
      <c r="K84" s="75">
        <f t="shared" si="27"/>
        <v>0</v>
      </c>
    </row>
    <row r="85" spans="1:11" x14ac:dyDescent="0.2">
      <c r="A85" s="73" t="str">
        <f>'Income Statement'!A52</f>
        <v>Gain (Loss) On Sale Of Assets</v>
      </c>
      <c r="B85" s="122">
        <f>'Income Statement'!B52</f>
        <v>0</v>
      </c>
      <c r="C85" s="122">
        <f>'Income Statement'!C52</f>
        <v>0</v>
      </c>
      <c r="D85" s="122">
        <f>'Income Statement'!D52</f>
        <v>0</v>
      </c>
      <c r="E85" s="122">
        <f>'Income Statement'!E52</f>
        <v>0</v>
      </c>
      <c r="F85" s="122">
        <f>'Income Statement'!F52</f>
        <v>0</v>
      </c>
      <c r="G85" s="122">
        <f>'Income Statement'!G52</f>
        <v>0</v>
      </c>
      <c r="H85" s="122"/>
      <c r="I85" s="75">
        <f t="shared" si="25"/>
        <v>0</v>
      </c>
      <c r="J85" s="75">
        <f t="shared" si="26"/>
        <v>0</v>
      </c>
      <c r="K85" s="75">
        <f t="shared" si="27"/>
        <v>0</v>
      </c>
    </row>
    <row r="86" spans="1:11" x14ac:dyDescent="0.2">
      <c r="A86" s="73" t="str">
        <f>'Income Statement'!A53</f>
        <v>Asset Writedown</v>
      </c>
      <c r="B86" s="122">
        <f>'Income Statement'!B53</f>
        <v>3</v>
      </c>
      <c r="C86" s="122">
        <f>'Income Statement'!C53</f>
        <v>128</v>
      </c>
      <c r="D86" s="122">
        <f>'Income Statement'!D53</f>
        <v>-121</v>
      </c>
      <c r="E86" s="122">
        <f>'Income Statement'!E53</f>
        <v>-996</v>
      </c>
      <c r="F86" s="122">
        <f>'Income Statement'!F53</f>
        <v>28</v>
      </c>
      <c r="G86" s="122">
        <f>'Income Statement'!G53</f>
        <v>-286</v>
      </c>
      <c r="H86" s="122"/>
      <c r="I86" s="75">
        <f t="shared" si="25"/>
        <v>-300.52879999999993</v>
      </c>
      <c r="J86" s="75">
        <f t="shared" si="26"/>
        <v>-315.79566303999997</v>
      </c>
      <c r="K86" s="75">
        <f t="shared" si="27"/>
        <v>-331.83808272243198</v>
      </c>
    </row>
    <row r="87" spans="1:11" x14ac:dyDescent="0.2">
      <c r="A87" s="73" t="str">
        <f>'Income Statement'!A54</f>
        <v>Insurance Settlements</v>
      </c>
      <c r="B87" s="122">
        <f>'Income Statement'!B54</f>
        <v>0</v>
      </c>
      <c r="C87" s="122">
        <f>'Income Statement'!C54</f>
        <v>0</v>
      </c>
      <c r="D87" s="122">
        <f>'Income Statement'!D54</f>
        <v>0</v>
      </c>
      <c r="E87" s="122">
        <f>'Income Statement'!E54</f>
        <v>0</v>
      </c>
      <c r="F87" s="122">
        <f>'Income Statement'!F54</f>
        <v>0</v>
      </c>
      <c r="G87" s="122">
        <f>'Income Statement'!G54</f>
        <v>0</v>
      </c>
      <c r="H87" s="122"/>
      <c r="I87" s="75">
        <f t="shared" si="25"/>
        <v>0</v>
      </c>
      <c r="J87" s="75">
        <f t="shared" si="26"/>
        <v>0</v>
      </c>
      <c r="K87" s="75">
        <f t="shared" si="27"/>
        <v>0</v>
      </c>
    </row>
    <row r="88" spans="1:11" x14ac:dyDescent="0.2">
      <c r="A88" s="73" t="str">
        <f>'Income Statement'!A55</f>
        <v>Legal Settlements</v>
      </c>
      <c r="B88" s="122">
        <f>'Income Statement'!B55</f>
        <v>0</v>
      </c>
      <c r="C88" s="122">
        <f>'Income Statement'!C55</f>
        <v>-93</v>
      </c>
      <c r="D88" s="122">
        <f>'Income Statement'!D55</f>
        <v>-193</v>
      </c>
      <c r="E88" s="122">
        <f>'Income Statement'!E55</f>
        <v>0</v>
      </c>
      <c r="F88" s="122">
        <f>'Income Statement'!F55</f>
        <v>0</v>
      </c>
      <c r="G88" s="122">
        <f>'Income Statement'!G55</f>
        <v>0</v>
      </c>
      <c r="H88" s="122"/>
      <c r="I88" s="75">
        <f t="shared" si="25"/>
        <v>0</v>
      </c>
      <c r="J88" s="75">
        <f t="shared" si="26"/>
        <v>0</v>
      </c>
      <c r="K88" s="75">
        <f t="shared" si="27"/>
        <v>0</v>
      </c>
    </row>
    <row r="89" spans="1:11" x14ac:dyDescent="0.2">
      <c r="A89" s="73" t="str">
        <f>'Income Statement'!A56</f>
        <v>Other Unusual Items</v>
      </c>
      <c r="B89" s="122">
        <f>'Income Statement'!B56</f>
        <v>-397</v>
      </c>
      <c r="C89" s="122">
        <f>'Income Statement'!C56</f>
        <v>-160</v>
      </c>
      <c r="D89" s="122">
        <f>'Income Statement'!D56</f>
        <v>26</v>
      </c>
      <c r="E89" s="122">
        <f>'Income Statement'!E56</f>
        <v>82</v>
      </c>
      <c r="F89" s="122">
        <f>'Income Statement'!F56</f>
        <v>0</v>
      </c>
      <c r="G89" s="122">
        <f>'Income Statement'!G56</f>
        <v>0</v>
      </c>
      <c r="H89" s="122"/>
      <c r="I89" s="75">
        <f t="shared" si="25"/>
        <v>0</v>
      </c>
      <c r="J89" s="75">
        <f t="shared" si="26"/>
        <v>0</v>
      </c>
      <c r="K89" s="75">
        <f t="shared" si="27"/>
        <v>0</v>
      </c>
    </row>
    <row r="90" spans="1:11" x14ac:dyDescent="0.2">
      <c r="A90" s="73" t="str">
        <f>'Income Statement'!A57</f>
        <v xml:space="preserve">  EBT Incl. Unusual Items</v>
      </c>
      <c r="B90" s="122">
        <f>'Income Statement'!B57</f>
        <v>1028</v>
      </c>
      <c r="C90" s="122">
        <f>'Income Statement'!C57</f>
        <v>636</v>
      </c>
      <c r="D90" s="122">
        <f>'Income Statement'!D57</f>
        <v>2033</v>
      </c>
      <c r="E90" s="122">
        <f>'Income Statement'!E57</f>
        <v>882</v>
      </c>
      <c r="F90" s="122">
        <f>'Income Statement'!F57</f>
        <v>2289</v>
      </c>
      <c r="G90" s="122">
        <f>'Income Statement'!G57</f>
        <v>2215</v>
      </c>
      <c r="H90" s="122"/>
      <c r="I90" s="75">
        <f>SUM(I79,I81:I89)</f>
        <v>2372.8977568</v>
      </c>
      <c r="J90" s="75">
        <f t="shared" ref="J90:K90" si="28">SUM(J79,J81:J89)</f>
        <v>2464.6402778454399</v>
      </c>
      <c r="K90" s="75">
        <f t="shared" si="28"/>
        <v>2589.0300149849895</v>
      </c>
    </row>
    <row r="91" spans="1:11" x14ac:dyDescent="0.2">
      <c r="B91" s="122"/>
      <c r="C91" s="122"/>
      <c r="D91" s="122"/>
      <c r="E91" s="122"/>
      <c r="F91" s="122"/>
      <c r="G91" s="122"/>
      <c r="H91" s="122"/>
      <c r="I91" s="75"/>
      <c r="J91" s="75"/>
      <c r="K91" s="75"/>
    </row>
    <row r="92" spans="1:11" x14ac:dyDescent="0.2">
      <c r="A92" s="73" t="str">
        <f>'Income Statement'!A59</f>
        <v>Income Tax Expense</v>
      </c>
      <c r="B92" s="122">
        <f>'Income Statement'!B59</f>
        <v>290</v>
      </c>
      <c r="C92" s="122">
        <f>'Income Statement'!C59</f>
        <v>104</v>
      </c>
      <c r="D92" s="122">
        <f>'Income Statement'!D59</f>
        <v>510</v>
      </c>
      <c r="E92" s="122">
        <f>'Income Statement'!E59</f>
        <v>224</v>
      </c>
      <c r="F92" s="122">
        <f>'Income Statement'!F59</f>
        <v>525</v>
      </c>
      <c r="G92" s="122">
        <f>'Income Statement'!G59</f>
        <v>611</v>
      </c>
      <c r="H92" s="122"/>
      <c r="I92" s="75">
        <f>I$18*I90</f>
        <v>711.86932704000003</v>
      </c>
      <c r="J92" s="75">
        <f>J$18*J90</f>
        <v>776.36168752131357</v>
      </c>
      <c r="K92" s="75">
        <f>K$18*K90</f>
        <v>854.37990494504663</v>
      </c>
    </row>
    <row r="93" spans="1:11" x14ac:dyDescent="0.2">
      <c r="A93" s="73" t="str">
        <f>'Income Statement'!A60</f>
        <v xml:space="preserve">  Earnings from Cont. Ops.</v>
      </c>
      <c r="B93" s="122">
        <f>'Income Statement'!B60</f>
        <v>738</v>
      </c>
      <c r="C93" s="122">
        <f>'Income Statement'!C60</f>
        <v>532</v>
      </c>
      <c r="D93" s="122">
        <f>'Income Statement'!D60</f>
        <v>1523</v>
      </c>
      <c r="E93" s="122">
        <f>'Income Statement'!E60</f>
        <v>658</v>
      </c>
      <c r="F93" s="122">
        <f>'Income Statement'!F60</f>
        <v>1764</v>
      </c>
      <c r="G93" s="122">
        <f>'Income Statement'!G60</f>
        <v>1604</v>
      </c>
      <c r="H93" s="122"/>
      <c r="I93" s="75">
        <f>I90-I92</f>
        <v>1661.0284297600001</v>
      </c>
      <c r="J93" s="75">
        <f>J90-J92</f>
        <v>1688.2785903241263</v>
      </c>
      <c r="K93" s="75">
        <f>K90-K92</f>
        <v>1734.6501100399428</v>
      </c>
    </row>
    <row r="94" spans="1:11" x14ac:dyDescent="0.2">
      <c r="B94" s="122"/>
      <c r="C94" s="122"/>
      <c r="D94" s="122"/>
      <c r="E94" s="122"/>
      <c r="F94" s="122"/>
      <c r="G94" s="122"/>
      <c r="H94" s="122"/>
      <c r="I94" s="75"/>
      <c r="J94" s="75"/>
      <c r="K94" s="75"/>
    </row>
    <row r="95" spans="1:11" x14ac:dyDescent="0.2">
      <c r="A95" s="73" t="str">
        <f>'Income Statement'!A62</f>
        <v>Earnings of Discontinued Ops.</v>
      </c>
      <c r="B95" s="122">
        <f>'Income Statement'!B62</f>
        <v>235</v>
      </c>
      <c r="C95" s="122">
        <f>'Income Statement'!C62</f>
        <v>5426</v>
      </c>
      <c r="D95" s="122">
        <f>'Income Statement'!D62</f>
        <v>-40</v>
      </c>
      <c r="E95" s="122">
        <f>'Income Statement'!E62</f>
        <v>78</v>
      </c>
      <c r="F95" s="122">
        <f>'Income Statement'!F62</f>
        <v>-572</v>
      </c>
      <c r="G95" s="122">
        <f>'Income Statement'!G62</f>
        <v>26</v>
      </c>
      <c r="H95" s="122"/>
      <c r="I95" s="75">
        <f>$G95/$G$56*$I$56</f>
        <v>27.320799999999998</v>
      </c>
      <c r="J95" s="75">
        <f>I95/I56*J56</f>
        <v>28.708696639999999</v>
      </c>
      <c r="K95" s="75">
        <f>J95*(1+K$15)</f>
        <v>30.167098429311999</v>
      </c>
    </row>
    <row r="96" spans="1:11" x14ac:dyDescent="0.2">
      <c r="A96" s="73" t="str">
        <f>'Income Statement'!A63</f>
        <v>Extraord. Item &amp; Account. Change</v>
      </c>
      <c r="B96" s="122">
        <f>'Income Statement'!B63</f>
        <v>0</v>
      </c>
      <c r="C96" s="122">
        <f>'Income Statement'!C63</f>
        <v>0</v>
      </c>
      <c r="D96" s="122">
        <f>'Income Statement'!D63</f>
        <v>0</v>
      </c>
      <c r="E96" s="122">
        <f>'Income Statement'!E63</f>
        <v>0</v>
      </c>
      <c r="F96" s="122">
        <f>'Income Statement'!F63</f>
        <v>0</v>
      </c>
      <c r="G96" s="122">
        <f>'Income Statement'!G63</f>
        <v>0</v>
      </c>
      <c r="H96" s="122"/>
      <c r="I96" s="75">
        <f>$G96/$G$56*$I$56</f>
        <v>0</v>
      </c>
      <c r="J96" s="75">
        <f>I96*(1+J$15)</f>
        <v>0</v>
      </c>
      <c r="K96" s="75">
        <f>J96*(1+K$15)</f>
        <v>0</v>
      </c>
    </row>
    <row r="97" spans="1:11" x14ac:dyDescent="0.2">
      <c r="A97" s="73" t="str">
        <f>'Income Statement'!A64</f>
        <v xml:space="preserve">  Net Income to Company</v>
      </c>
      <c r="B97" s="122">
        <f>'Income Statement'!B64</f>
        <v>973</v>
      </c>
      <c r="C97" s="122">
        <f>'Income Statement'!C64</f>
        <v>5958</v>
      </c>
      <c r="D97" s="122">
        <f>'Income Statement'!D64</f>
        <v>1483</v>
      </c>
      <c r="E97" s="122">
        <f>'Income Statement'!E64</f>
        <v>736</v>
      </c>
      <c r="F97" s="122">
        <f>'Income Statement'!F64</f>
        <v>1192</v>
      </c>
      <c r="G97" s="122">
        <f>'Income Statement'!G64</f>
        <v>1630</v>
      </c>
      <c r="H97" s="122"/>
      <c r="I97" s="75">
        <f>SUM(I93,I95:I96)</f>
        <v>1688.3492297600001</v>
      </c>
      <c r="J97" s="75">
        <f t="shared" ref="J97:K97" si="29">SUM(J93,J95:J96)</f>
        <v>1716.9872869641263</v>
      </c>
      <c r="K97" s="75">
        <f t="shared" si="29"/>
        <v>1764.8172084692549</v>
      </c>
    </row>
    <row r="98" spans="1:11" x14ac:dyDescent="0.2">
      <c r="B98" s="122"/>
      <c r="C98" s="122"/>
      <c r="D98" s="122"/>
      <c r="E98" s="122"/>
      <c r="F98" s="122"/>
      <c r="G98" s="122"/>
      <c r="H98" s="122"/>
      <c r="I98" s="75"/>
      <c r="J98" s="75"/>
      <c r="K98" s="75"/>
    </row>
    <row r="99" spans="1:11" x14ac:dyDescent="0.2">
      <c r="A99" s="73" t="str">
        <f>'Income Statement'!A66</f>
        <v>Minority Int. in Earnings</v>
      </c>
      <c r="B99" s="122">
        <f>'Income Statement'!B66</f>
        <v>-2</v>
      </c>
      <c r="C99" s="122">
        <f>'Income Statement'!C66</f>
        <v>-4</v>
      </c>
      <c r="D99" s="122">
        <f>'Income Statement'!D66</f>
        <v>-2</v>
      </c>
      <c r="E99" s="122">
        <f>'Income Statement'!E66</f>
        <v>1</v>
      </c>
      <c r="F99" s="122">
        <f>'Income Statement'!F66</f>
        <v>-4</v>
      </c>
      <c r="G99" s="122">
        <f>'Income Statement'!G66</f>
        <v>-4</v>
      </c>
      <c r="H99" s="122"/>
      <c r="I99" s="75">
        <v>0</v>
      </c>
      <c r="J99" s="75">
        <f>I99/I56*J56</f>
        <v>0</v>
      </c>
      <c r="K99" s="75">
        <f>J99/J56*K56</f>
        <v>0</v>
      </c>
    </row>
    <row r="100" spans="1:11" x14ac:dyDescent="0.2">
      <c r="A100" s="73" t="str">
        <f>'Income Statement'!A67</f>
        <v xml:space="preserve">  Net Income</v>
      </c>
      <c r="B100" s="122">
        <f>'Income Statement'!B67</f>
        <v>971</v>
      </c>
      <c r="C100" s="122">
        <f>'Income Statement'!C67</f>
        <v>5954</v>
      </c>
      <c r="D100" s="122">
        <f>'Income Statement'!D67</f>
        <v>1481</v>
      </c>
      <c r="E100" s="122">
        <f>'Income Statement'!E67</f>
        <v>737</v>
      </c>
      <c r="F100" s="122">
        <f>'Income Statement'!F67</f>
        <v>1188</v>
      </c>
      <c r="G100" s="122">
        <f>'Income Statement'!G67</f>
        <v>1626</v>
      </c>
      <c r="H100" s="122"/>
      <c r="I100" s="75">
        <f>SUM(I97,I99)</f>
        <v>1688.3492297600001</v>
      </c>
      <c r="J100" s="75">
        <f t="shared" ref="J100" si="30">SUM(J97,J99)</f>
        <v>1716.9872869641263</v>
      </c>
      <c r="K100" s="75">
        <f>SUM(K97,K99)</f>
        <v>1764.8172084692549</v>
      </c>
    </row>
    <row r="103" spans="1:11" ht="17" thickBot="1" x14ac:dyDescent="0.25">
      <c r="A103" s="174" t="s">
        <v>815</v>
      </c>
      <c r="B103" s="181"/>
      <c r="C103" s="181"/>
      <c r="D103" s="181"/>
      <c r="E103" s="181"/>
      <c r="F103" s="181"/>
      <c r="G103" s="181"/>
      <c r="H103" s="181"/>
      <c r="I103" s="181"/>
      <c r="J103" s="181"/>
      <c r="K103" s="181"/>
    </row>
    <row r="104" spans="1:11" ht="17" thickBot="1" x14ac:dyDescent="0.25">
      <c r="B104" s="257" t="s">
        <v>6</v>
      </c>
      <c r="C104" s="258"/>
      <c r="D104" s="258"/>
      <c r="E104" s="258"/>
      <c r="F104" s="258"/>
      <c r="G104" s="259"/>
      <c r="I104" s="257" t="s">
        <v>790</v>
      </c>
      <c r="J104" s="258"/>
      <c r="K104" s="259"/>
    </row>
    <row r="105" spans="1:11" s="70" customFormat="1" ht="16" customHeight="1" x14ac:dyDescent="0.2">
      <c r="A105" s="184" t="str">
        <f>'Balance Sheet'!A15</f>
        <v xml:space="preserve">Balance Sheet as of:
</v>
      </c>
      <c r="B105" s="182">
        <v>2020</v>
      </c>
      <c r="C105" s="182">
        <v>2021</v>
      </c>
      <c r="D105" s="182">
        <v>2022</v>
      </c>
      <c r="E105" s="182">
        <v>2023</v>
      </c>
      <c r="F105" s="182">
        <v>2024</v>
      </c>
      <c r="G105" s="182">
        <v>2025</v>
      </c>
      <c r="H105" s="91" t="s">
        <v>819</v>
      </c>
      <c r="I105" s="28">
        <v>2026</v>
      </c>
      <c r="J105" s="28">
        <v>2027</v>
      </c>
      <c r="K105" s="28">
        <v>2028</v>
      </c>
    </row>
    <row r="106" spans="1:11" x14ac:dyDescent="0.2">
      <c r="A106" s="73" t="str">
        <f>'Balance Sheet'!A16</f>
        <v>Currency</v>
      </c>
      <c r="B106" s="120" t="str">
        <f>'Balance Sheet'!B16</f>
        <v>GBP</v>
      </c>
      <c r="C106" s="120" t="str">
        <f>'Balance Sheet'!C16</f>
        <v>GBP</v>
      </c>
      <c r="D106" s="120" t="str">
        <f>'Balance Sheet'!D16</f>
        <v>GBP</v>
      </c>
      <c r="E106" s="120" t="str">
        <f>'Balance Sheet'!E16</f>
        <v>GBP</v>
      </c>
      <c r="F106" s="120" t="str">
        <f>'Balance Sheet'!F16</f>
        <v>GBP</v>
      </c>
      <c r="G106" s="120" t="str">
        <f>'Balance Sheet'!G16</f>
        <v>GBP</v>
      </c>
      <c r="H106" s="120" t="s">
        <v>24</v>
      </c>
      <c r="I106" s="120" t="s">
        <v>24</v>
      </c>
      <c r="J106" s="120" t="s">
        <v>24</v>
      </c>
      <c r="K106" s="120" t="s">
        <v>24</v>
      </c>
    </row>
    <row r="107" spans="1:11" x14ac:dyDescent="0.2">
      <c r="A107" s="73" t="str">
        <f>'Balance Sheet'!A17</f>
        <v>ASSETS</v>
      </c>
    </row>
    <row r="108" spans="1:11" x14ac:dyDescent="0.2">
      <c r="A108" s="73" t="str">
        <f>'Balance Sheet'!A18</f>
        <v>Cash And Equivalents</v>
      </c>
      <c r="B108" s="122">
        <f>'Balance Sheet'!B18</f>
        <v>4137</v>
      </c>
      <c r="C108" s="122">
        <f>'Balance Sheet'!C18</f>
        <v>2510</v>
      </c>
      <c r="D108" s="122">
        <f>'Balance Sheet'!D18</f>
        <v>2345</v>
      </c>
      <c r="E108" s="122">
        <f>'Balance Sheet'!E18</f>
        <v>2465</v>
      </c>
      <c r="F108" s="122">
        <f>'Balance Sheet'!F18</f>
        <v>2340</v>
      </c>
      <c r="G108" s="122">
        <f>'Balance Sheet'!G18</f>
        <v>2255</v>
      </c>
      <c r="H108" s="122">
        <v>750</v>
      </c>
      <c r="I108" s="122">
        <v>2406</v>
      </c>
      <c r="J108" s="122">
        <v>2679</v>
      </c>
      <c r="K108" s="122">
        <v>2964</v>
      </c>
    </row>
    <row r="109" spans="1:11" x14ac:dyDescent="0.2">
      <c r="A109" s="73" t="str">
        <f>'Balance Sheet'!A19</f>
        <v>Short Term Investments</v>
      </c>
      <c r="B109" s="122">
        <f>'Balance Sheet'!B19</f>
        <v>1076</v>
      </c>
      <c r="C109" s="122">
        <f>'Balance Sheet'!C19</f>
        <v>1011</v>
      </c>
      <c r="D109" s="122">
        <f>'Balance Sheet'!D19</f>
        <v>2302</v>
      </c>
      <c r="E109" s="122">
        <f>'Balance Sheet'!E19</f>
        <v>1981</v>
      </c>
      <c r="F109" s="122">
        <f>'Balance Sheet'!F19</f>
        <v>2334</v>
      </c>
      <c r="G109" s="122">
        <f>'Balance Sheet'!G19</f>
        <v>2374</v>
      </c>
      <c r="H109" s="122">
        <f>G109</f>
        <v>2374</v>
      </c>
      <c r="I109" s="122">
        <f>H$109*(1+I40)</f>
        <v>2611.4</v>
      </c>
      <c r="J109" s="122">
        <f t="shared" ref="J109:K109" si="31">I$109*(1+J40)</f>
        <v>2872.5400000000004</v>
      </c>
      <c r="K109" s="122">
        <f t="shared" si="31"/>
        <v>3159.7940000000008</v>
      </c>
    </row>
    <row r="110" spans="1:11" x14ac:dyDescent="0.2">
      <c r="A110" s="73" t="str">
        <f>'Balance Sheet'!A20</f>
        <v xml:space="preserve">  Total Cash &amp; ST Investments</v>
      </c>
      <c r="B110" s="122">
        <f>'Balance Sheet'!B20</f>
        <v>5213</v>
      </c>
      <c r="C110" s="122">
        <f>'Balance Sheet'!C20</f>
        <v>3521</v>
      </c>
      <c r="D110" s="122">
        <f>'Balance Sheet'!D20</f>
        <v>4647</v>
      </c>
      <c r="E110" s="122">
        <f>'Balance Sheet'!E20</f>
        <v>4446</v>
      </c>
      <c r="F110" s="122">
        <f>'Balance Sheet'!F20</f>
        <v>4674</v>
      </c>
      <c r="G110" s="122">
        <f>'Balance Sheet'!G20</f>
        <v>4629</v>
      </c>
      <c r="H110" s="122">
        <f>SUM(H108:H109)</f>
        <v>3124</v>
      </c>
      <c r="I110" s="122">
        <f>SUM(I108:I109)</f>
        <v>5017.3999999999996</v>
      </c>
      <c r="J110" s="122">
        <f>SUM(J108:J109)</f>
        <v>5551.5400000000009</v>
      </c>
      <c r="K110" s="122">
        <f>SUM(K108:K109)</f>
        <v>6123.7940000000008</v>
      </c>
    </row>
    <row r="111" spans="1:11" x14ac:dyDescent="0.2">
      <c r="B111" s="122"/>
      <c r="C111" s="122"/>
      <c r="D111" s="122"/>
      <c r="E111" s="122"/>
      <c r="F111" s="122"/>
      <c r="G111" s="122"/>
      <c r="H111" s="122"/>
      <c r="I111" s="122"/>
      <c r="J111" s="122"/>
      <c r="K111" s="122"/>
    </row>
    <row r="112" spans="1:11" x14ac:dyDescent="0.2">
      <c r="A112" s="73" t="str">
        <f>'Balance Sheet'!A22</f>
        <v>Accounts Receivable</v>
      </c>
      <c r="B112" s="122">
        <f>'Balance Sheet'!B22</f>
        <v>1396</v>
      </c>
      <c r="C112" s="122">
        <f>'Balance Sheet'!C22</f>
        <v>1263</v>
      </c>
      <c r="D112" s="122">
        <f>'Balance Sheet'!D22</f>
        <v>1263</v>
      </c>
      <c r="E112" s="122">
        <f>'Balance Sheet'!E22</f>
        <v>1235</v>
      </c>
      <c r="F112" s="122">
        <f>'Balance Sheet'!F22</f>
        <v>1349</v>
      </c>
      <c r="G112" s="122">
        <f>'Balance Sheet'!G22</f>
        <v>1210</v>
      </c>
      <c r="H112" s="122">
        <f>G112</f>
        <v>1210</v>
      </c>
      <c r="I112" s="122">
        <f>I20*I52/365</f>
        <v>1593.5540339726026</v>
      </c>
      <c r="J112" s="122">
        <f>J20*J52/365</f>
        <v>1674.5065788984107</v>
      </c>
      <c r="K112" s="122">
        <f>K20*K52/365</f>
        <v>1759.5715131064501</v>
      </c>
    </row>
    <row r="113" spans="1:14" x14ac:dyDescent="0.2">
      <c r="A113" s="73" t="str">
        <f>'Balance Sheet'!A23</f>
        <v>Other Receivables</v>
      </c>
      <c r="B113" s="122">
        <f>'Balance Sheet'!B23</f>
        <v>21</v>
      </c>
      <c r="C113" s="122">
        <f>'Balance Sheet'!C23</f>
        <v>41</v>
      </c>
      <c r="D113" s="122">
        <f>'Balance Sheet'!D23</f>
        <v>93</v>
      </c>
      <c r="E113" s="122">
        <f>'Balance Sheet'!E23</f>
        <v>63</v>
      </c>
      <c r="F113" s="122">
        <f>'Balance Sheet'!F23</f>
        <v>110</v>
      </c>
      <c r="G113" s="122">
        <f>'Balance Sheet'!G23</f>
        <v>27</v>
      </c>
      <c r="H113" s="122">
        <f>G113</f>
        <v>27</v>
      </c>
      <c r="I113" s="122">
        <f>$H$113</f>
        <v>27</v>
      </c>
      <c r="J113" s="122">
        <f t="shared" ref="J113:K113" si="32">$H$113</f>
        <v>27</v>
      </c>
      <c r="K113" s="122">
        <f t="shared" si="32"/>
        <v>27</v>
      </c>
    </row>
    <row r="114" spans="1:14" x14ac:dyDescent="0.2">
      <c r="A114" s="73" t="str">
        <f>'Balance Sheet'!A24</f>
        <v>Notes Receivable</v>
      </c>
      <c r="B114" s="122">
        <f>'Balance Sheet'!B24</f>
        <v>0</v>
      </c>
      <c r="C114" s="122">
        <f>'Balance Sheet'!C24</f>
        <v>0</v>
      </c>
      <c r="D114" s="122">
        <f>'Balance Sheet'!D24</f>
        <v>0</v>
      </c>
      <c r="E114" s="122">
        <f>'Balance Sheet'!E24</f>
        <v>0</v>
      </c>
      <c r="F114" s="122">
        <f>'Balance Sheet'!F24</f>
        <v>0</v>
      </c>
      <c r="G114" s="122">
        <f>'Balance Sheet'!G24</f>
        <v>0</v>
      </c>
      <c r="H114" s="122">
        <f>G114</f>
        <v>0</v>
      </c>
      <c r="I114" s="122">
        <v>0</v>
      </c>
      <c r="J114" s="122">
        <v>0</v>
      </c>
      <c r="K114" s="122">
        <v>0</v>
      </c>
    </row>
    <row r="115" spans="1:14" x14ac:dyDescent="0.2">
      <c r="A115" s="73" t="str">
        <f>'Balance Sheet'!A25</f>
        <v xml:space="preserve">  Total Receivables</v>
      </c>
      <c r="B115" s="122">
        <f>'Balance Sheet'!B25</f>
        <v>1417</v>
      </c>
      <c r="C115" s="122">
        <f>'Balance Sheet'!C25</f>
        <v>1304</v>
      </c>
      <c r="D115" s="122">
        <f>'Balance Sheet'!D25</f>
        <v>1356</v>
      </c>
      <c r="E115" s="122">
        <f>'Balance Sheet'!E25</f>
        <v>1298</v>
      </c>
      <c r="F115" s="122">
        <f>'Balance Sheet'!F25</f>
        <v>1459</v>
      </c>
      <c r="G115" s="122">
        <f>'Balance Sheet'!G25</f>
        <v>1237</v>
      </c>
      <c r="H115" s="122">
        <f>SUM(H112:H114)</f>
        <v>1237</v>
      </c>
      <c r="I115" s="122">
        <f>SUM(I112:I114)</f>
        <v>1620.5540339726026</v>
      </c>
      <c r="J115" s="122">
        <f>SUM(J112:J114)</f>
        <v>1701.5065788984107</v>
      </c>
      <c r="K115" s="122">
        <f>SUM(K112:K114)</f>
        <v>1786.5715131064501</v>
      </c>
    </row>
    <row r="116" spans="1:14" x14ac:dyDescent="0.2">
      <c r="B116" s="122"/>
      <c r="C116" s="122"/>
      <c r="D116" s="122"/>
      <c r="E116" s="122"/>
      <c r="F116" s="122"/>
      <c r="G116" s="122"/>
      <c r="H116" s="122"/>
      <c r="I116" s="122"/>
      <c r="J116" s="122"/>
      <c r="K116" s="122"/>
    </row>
    <row r="117" spans="1:14" x14ac:dyDescent="0.2">
      <c r="A117" s="73" t="str">
        <f>'Balance Sheet'!A27</f>
        <v>Inventory</v>
      </c>
      <c r="B117" s="122">
        <f>'Balance Sheet'!B27</f>
        <v>2433</v>
      </c>
      <c r="C117" s="122">
        <f>'Balance Sheet'!C27</f>
        <v>2069</v>
      </c>
      <c r="D117" s="122">
        <f>'Balance Sheet'!D27</f>
        <v>2339</v>
      </c>
      <c r="E117" s="122">
        <f>'Balance Sheet'!E27</f>
        <v>2510</v>
      </c>
      <c r="F117" s="122">
        <f>'Balance Sheet'!F27</f>
        <v>2635</v>
      </c>
      <c r="G117" s="122">
        <f>'Balance Sheet'!G27</f>
        <v>2768</v>
      </c>
      <c r="H117" s="122">
        <f>G117</f>
        <v>2768</v>
      </c>
      <c r="I117" s="122">
        <f>I23*I58/365</f>
        <v>3113.0327405551902</v>
      </c>
      <c r="J117" s="122">
        <f>J23*J58/365</f>
        <v>3271.1748037753941</v>
      </c>
      <c r="K117" s="122">
        <f>K23*K58/365</f>
        <v>3437.350483807184</v>
      </c>
    </row>
    <row r="118" spans="1:14" x14ac:dyDescent="0.2">
      <c r="A118" s="73" t="str">
        <f>'Balance Sheet'!A28</f>
        <v>Prepaid Exp.</v>
      </c>
      <c r="B118" s="122">
        <f>'Balance Sheet'!B28</f>
        <v>0</v>
      </c>
      <c r="C118" s="122">
        <f>'Balance Sheet'!C28</f>
        <v>0</v>
      </c>
      <c r="D118" s="122">
        <f>'Balance Sheet'!D28</f>
        <v>0</v>
      </c>
      <c r="E118" s="122">
        <f>'Balance Sheet'!E28</f>
        <v>0</v>
      </c>
      <c r="F118" s="122">
        <f>'Balance Sheet'!F28</f>
        <v>0</v>
      </c>
      <c r="G118" s="122">
        <f>'Balance Sheet'!G28</f>
        <v>0</v>
      </c>
      <c r="H118" s="122">
        <f t="shared" ref="H118:H121" si="33">G118</f>
        <v>0</v>
      </c>
      <c r="I118" s="122">
        <v>0</v>
      </c>
      <c r="J118" s="122">
        <v>0</v>
      </c>
      <c r="K118" s="122">
        <v>0</v>
      </c>
    </row>
    <row r="119" spans="1:14" x14ac:dyDescent="0.2">
      <c r="A119" s="73" t="str">
        <f>'Balance Sheet'!A29</f>
        <v>Finance Div. Loans and Leases, ST</v>
      </c>
      <c r="B119" s="122">
        <f>'Balance Sheet'!B29</f>
        <v>4280</v>
      </c>
      <c r="C119" s="122">
        <f>'Balance Sheet'!C29</f>
        <v>3093</v>
      </c>
      <c r="D119" s="122">
        <f>'Balance Sheet'!D29</f>
        <v>3349</v>
      </c>
      <c r="E119" s="122">
        <f>'Balance Sheet'!E29</f>
        <v>3948</v>
      </c>
      <c r="F119" s="122">
        <f>'Balance Sheet'!F29</f>
        <v>0</v>
      </c>
      <c r="G119" s="122">
        <f>'Balance Sheet'!G29</f>
        <v>0</v>
      </c>
      <c r="H119" s="122">
        <f t="shared" si="33"/>
        <v>0</v>
      </c>
      <c r="I119" s="122">
        <v>0</v>
      </c>
      <c r="J119" s="122">
        <v>0</v>
      </c>
      <c r="K119" s="122">
        <v>0</v>
      </c>
    </row>
    <row r="120" spans="1:14" x14ac:dyDescent="0.2">
      <c r="A120" s="73" t="str">
        <f>'Balance Sheet'!A30</f>
        <v>Finance Div. Other Curr. Assets</v>
      </c>
      <c r="B120" s="122">
        <f>'Balance Sheet'!B30</f>
        <v>247</v>
      </c>
      <c r="C120" s="122">
        <f>'Balance Sheet'!C30</f>
        <v>178</v>
      </c>
      <c r="D120" s="122">
        <f>'Balance Sheet'!D30</f>
        <v>61</v>
      </c>
      <c r="E120" s="122">
        <f>'Balance Sheet'!E30</f>
        <v>0</v>
      </c>
      <c r="F120" s="122">
        <f>'Balance Sheet'!F30</f>
        <v>0</v>
      </c>
      <c r="G120" s="122">
        <f>'Balance Sheet'!G30</f>
        <v>0</v>
      </c>
      <c r="H120" s="122">
        <f t="shared" si="33"/>
        <v>0</v>
      </c>
      <c r="I120" s="122">
        <v>0</v>
      </c>
      <c r="J120" s="122">
        <v>0</v>
      </c>
      <c r="K120" s="122">
        <v>0</v>
      </c>
    </row>
    <row r="121" spans="1:14" x14ac:dyDescent="0.2">
      <c r="A121" s="73" t="str">
        <f>'Balance Sheet'!A31</f>
        <v>Other Current Assets</v>
      </c>
      <c r="B121" s="122">
        <f>'Balance Sheet'!B31</f>
        <v>303</v>
      </c>
      <c r="C121" s="122">
        <f>'Balance Sheet'!C31</f>
        <v>642</v>
      </c>
      <c r="D121" s="122">
        <f>'Balance Sheet'!D31</f>
        <v>437</v>
      </c>
      <c r="E121" s="122">
        <f>'Balance Sheet'!E31</f>
        <v>267</v>
      </c>
      <c r="F121" s="122">
        <f>'Balance Sheet'!F31</f>
        <v>7838</v>
      </c>
      <c r="G121" s="122">
        <f>'Balance Sheet'!G31</f>
        <v>222</v>
      </c>
      <c r="H121" s="122">
        <f t="shared" si="33"/>
        <v>222</v>
      </c>
      <c r="I121" s="122">
        <f>G121*(1+I29)</f>
        <v>244.20000000000002</v>
      </c>
      <c r="J121" s="122">
        <f>I121*(1+J29)</f>
        <v>268.62000000000006</v>
      </c>
      <c r="K121" s="122">
        <f>J121*(1+K29)</f>
        <v>295.48200000000008</v>
      </c>
    </row>
    <row r="122" spans="1:14" x14ac:dyDescent="0.2">
      <c r="A122" s="73" t="str">
        <f>'Balance Sheet'!A32</f>
        <v xml:space="preserve">  Total Current Assets</v>
      </c>
      <c r="B122" s="122">
        <f>'Balance Sheet'!B32</f>
        <v>13893</v>
      </c>
      <c r="C122" s="122">
        <f>'Balance Sheet'!C32</f>
        <v>10807</v>
      </c>
      <c r="D122" s="122">
        <f>'Balance Sheet'!D32</f>
        <v>12189</v>
      </c>
      <c r="E122" s="122">
        <f>'Balance Sheet'!E32</f>
        <v>12469</v>
      </c>
      <c r="F122" s="122">
        <f>'Balance Sheet'!F32</f>
        <v>16606</v>
      </c>
      <c r="G122" s="122">
        <f>'Balance Sheet'!G32</f>
        <v>8856</v>
      </c>
      <c r="H122" s="122">
        <f>SUM(H117:H121,H115,H110)</f>
        <v>7351</v>
      </c>
      <c r="I122" s="122">
        <f>SUM(I117:I121,I115,I110)</f>
        <v>9995.1867745277923</v>
      </c>
      <c r="J122" s="122">
        <f t="shared" ref="J122" si="34">SUM(J117:J121,J115,J110)</f>
        <v>10792.841382673805</v>
      </c>
      <c r="K122" s="122">
        <f>SUM(K117:K121,K115,K110)</f>
        <v>11643.197996913634</v>
      </c>
    </row>
    <row r="123" spans="1:14" x14ac:dyDescent="0.2">
      <c r="B123" s="122"/>
      <c r="C123" s="122"/>
      <c r="D123" s="122"/>
      <c r="E123" s="122"/>
      <c r="F123" s="122"/>
      <c r="G123" s="122"/>
      <c r="H123" s="122"/>
      <c r="I123" s="122"/>
      <c r="J123" s="122"/>
      <c r="K123" s="122"/>
    </row>
    <row r="124" spans="1:14" x14ac:dyDescent="0.2">
      <c r="A124" s="73" t="str">
        <f>'Balance Sheet'!A34</f>
        <v>Gross Property, Plant &amp; Equipment</v>
      </c>
      <c r="B124" s="122">
        <f>'Balance Sheet'!B34</f>
        <v>37904</v>
      </c>
      <c r="C124" s="122">
        <f>'Balance Sheet'!C34</f>
        <v>33335</v>
      </c>
      <c r="D124" s="122">
        <f>'Balance Sheet'!D34</f>
        <v>33335</v>
      </c>
      <c r="E124" s="122">
        <f>'Balance Sheet'!E34</f>
        <v>33984</v>
      </c>
      <c r="F124" s="122">
        <f>'Balance Sheet'!F34</f>
        <v>34574</v>
      </c>
      <c r="G124" s="122">
        <f>'Balance Sheet'!G34</f>
        <v>34986</v>
      </c>
      <c r="H124" s="122">
        <f>G126</f>
        <v>22831</v>
      </c>
      <c r="I124" s="122">
        <f>(I126/G126)*G124</f>
        <v>34597.933222338048</v>
      </c>
      <c r="J124" s="122">
        <f>(J126/I126)*I124</f>
        <v>34190.152652370867</v>
      </c>
      <c r="K124" s="122">
        <f>(K126/J126)*J124</f>
        <v>33761.656829449348</v>
      </c>
      <c r="M124" s="75"/>
    </row>
    <row r="125" spans="1:14" x14ac:dyDescent="0.2">
      <c r="A125" s="73" t="str">
        <f>'Balance Sheet'!A35</f>
        <v>Accumulated Depreciation</v>
      </c>
      <c r="B125" s="122">
        <f>'Balance Sheet'!B35</f>
        <v>-12559</v>
      </c>
      <c r="C125" s="122">
        <f>'Balance Sheet'!C35</f>
        <v>-10451</v>
      </c>
      <c r="D125" s="122">
        <f>'Balance Sheet'!D35</f>
        <v>-10566</v>
      </c>
      <c r="E125" s="122">
        <f>'Balance Sheet'!E35</f>
        <v>-11632</v>
      </c>
      <c r="F125" s="122">
        <f>'Balance Sheet'!F35</f>
        <v>-11875</v>
      </c>
      <c r="G125" s="122">
        <f>'Balance Sheet'!G35</f>
        <v>-12155</v>
      </c>
      <c r="H125" s="122">
        <v>0</v>
      </c>
      <c r="I125" s="122">
        <f>(I126/G126)*G125</f>
        <v>-12020.17602233805</v>
      </c>
      <c r="J125" s="122">
        <f>(J126/I126)*I125</f>
        <v>-11878.502986610871</v>
      </c>
      <c r="K125" s="122">
        <f>(K126/J126)*J125</f>
        <v>-11729.63296066875</v>
      </c>
      <c r="M125" s="75"/>
      <c r="N125" s="75"/>
    </row>
    <row r="126" spans="1:14" x14ac:dyDescent="0.2">
      <c r="A126" s="73" t="str">
        <f>'Balance Sheet'!A36</f>
        <v xml:space="preserve">  Net Property, Plant &amp; Equipment</v>
      </c>
      <c r="B126" s="122">
        <f>'Balance Sheet'!B36</f>
        <v>25345</v>
      </c>
      <c r="C126" s="122">
        <f>'Balance Sheet'!C36</f>
        <v>22884</v>
      </c>
      <c r="D126" s="122">
        <f>'Balance Sheet'!D36</f>
        <v>22769</v>
      </c>
      <c r="E126" s="122">
        <f>'Balance Sheet'!E36</f>
        <v>22352</v>
      </c>
      <c r="F126" s="122">
        <f>'Balance Sheet'!F36</f>
        <v>22699</v>
      </c>
      <c r="G126" s="122">
        <f>'Balance Sheet'!G36</f>
        <v>22831</v>
      </c>
      <c r="H126" s="122">
        <f>SUM(H124:H125)</f>
        <v>22831</v>
      </c>
      <c r="I126" s="122">
        <f>G126-I32-I31</f>
        <v>22577.7572</v>
      </c>
      <c r="J126" s="122">
        <f>I126-J32-J31</f>
        <v>22311.64966576</v>
      </c>
      <c r="K126" s="122">
        <f>J126-K32-K31</f>
        <v>22032.023868780605</v>
      </c>
      <c r="M126" s="75"/>
      <c r="N126" s="75"/>
    </row>
    <row r="127" spans="1:14" x14ac:dyDescent="0.2">
      <c r="B127" s="122"/>
      <c r="C127" s="122"/>
      <c r="D127" s="122"/>
      <c r="E127" s="122"/>
      <c r="F127" s="122"/>
      <c r="G127" s="122"/>
      <c r="H127" s="122"/>
      <c r="I127" s="122"/>
      <c r="J127" s="122"/>
      <c r="K127" s="122"/>
      <c r="M127" s="75"/>
      <c r="N127" s="75"/>
    </row>
    <row r="128" spans="1:14" x14ac:dyDescent="0.2">
      <c r="A128" s="73" t="str">
        <f>'Balance Sheet'!A38</f>
        <v>Long-term Investments</v>
      </c>
      <c r="B128" s="122">
        <f>'Balance Sheet'!B38</f>
        <v>78</v>
      </c>
      <c r="C128" s="122">
        <f>'Balance Sheet'!C38</f>
        <v>94</v>
      </c>
      <c r="D128" s="122">
        <f>'Balance Sheet'!D38</f>
        <v>98</v>
      </c>
      <c r="E128" s="122">
        <f>'Balance Sheet'!E38</f>
        <v>311</v>
      </c>
      <c r="F128" s="122">
        <f>'Balance Sheet'!F38</f>
        <v>1648</v>
      </c>
      <c r="G128" s="122">
        <f>'Balance Sheet'!G38</f>
        <v>1044</v>
      </c>
      <c r="H128" s="122">
        <f>G128</f>
        <v>1044</v>
      </c>
      <c r="I128" s="122">
        <v>1044</v>
      </c>
      <c r="J128" s="122">
        <v>1044</v>
      </c>
      <c r="K128" s="122">
        <v>1044</v>
      </c>
    </row>
    <row r="129" spans="1:14" x14ac:dyDescent="0.2">
      <c r="A129" s="73" t="str">
        <f>'Balance Sheet'!A39</f>
        <v>Goodwill</v>
      </c>
      <c r="B129" s="122">
        <f>'Balance Sheet'!B39</f>
        <v>0</v>
      </c>
      <c r="C129" s="122">
        <f>'Balance Sheet'!C39</f>
        <v>0</v>
      </c>
      <c r="D129" s="122">
        <f>'Balance Sheet'!D39</f>
        <v>0</v>
      </c>
      <c r="E129" s="122">
        <f>'Balance Sheet'!E39</f>
        <v>0</v>
      </c>
      <c r="F129" s="122">
        <f>'Balance Sheet'!F39</f>
        <v>4128</v>
      </c>
      <c r="G129" s="122">
        <f>'Balance Sheet'!G39</f>
        <v>4164</v>
      </c>
      <c r="H129" s="122">
        <f>H174-33221</f>
        <v>52510</v>
      </c>
      <c r="I129" s="122">
        <f>H129</f>
        <v>52510</v>
      </c>
      <c r="J129" s="122">
        <f t="shared" ref="J129:K129" si="35">I129</f>
        <v>52510</v>
      </c>
      <c r="K129" s="122">
        <f t="shared" si="35"/>
        <v>52510</v>
      </c>
    </row>
    <row r="130" spans="1:14" x14ac:dyDescent="0.2">
      <c r="A130" s="73" t="str">
        <f>'Balance Sheet'!A40</f>
        <v>Other Intangibles</v>
      </c>
      <c r="B130" s="122">
        <f>'Balance Sheet'!B40</f>
        <v>4876</v>
      </c>
      <c r="C130" s="122">
        <f>'Balance Sheet'!C40</f>
        <v>4782</v>
      </c>
      <c r="D130" s="122">
        <f>'Balance Sheet'!D40</f>
        <v>4731</v>
      </c>
      <c r="E130" s="122">
        <f>'Balance Sheet'!E40</f>
        <v>4752</v>
      </c>
      <c r="F130" s="122">
        <f>'Balance Sheet'!F40</f>
        <v>938</v>
      </c>
      <c r="G130" s="122">
        <f>'Balance Sheet'!G40</f>
        <v>923</v>
      </c>
      <c r="H130" s="122">
        <f t="shared" ref="H130:H136" si="36">G130</f>
        <v>923</v>
      </c>
      <c r="I130" s="122">
        <f>H130</f>
        <v>923</v>
      </c>
      <c r="J130" s="122">
        <f t="shared" ref="J130:K130" si="37">I130</f>
        <v>923</v>
      </c>
      <c r="K130" s="122">
        <f t="shared" si="37"/>
        <v>923</v>
      </c>
    </row>
    <row r="131" spans="1:14" x14ac:dyDescent="0.2">
      <c r="A131" s="73" t="str">
        <f>'Balance Sheet'!A41</f>
        <v>Finance Div. Loans and Leases, LT</v>
      </c>
      <c r="B131" s="122">
        <f>'Balance Sheet'!B41</f>
        <v>4171</v>
      </c>
      <c r="C131" s="122">
        <f>'Balance Sheet'!C41</f>
        <v>3309</v>
      </c>
      <c r="D131" s="122">
        <f>'Balance Sheet'!D41</f>
        <v>3141</v>
      </c>
      <c r="E131" s="122">
        <f>'Balance Sheet'!E41</f>
        <v>3029</v>
      </c>
      <c r="F131" s="122">
        <f>'Balance Sheet'!F41</f>
        <v>0</v>
      </c>
      <c r="G131" s="122">
        <f>'Balance Sheet'!G41</f>
        <v>0</v>
      </c>
      <c r="H131" s="122">
        <f t="shared" si="36"/>
        <v>0</v>
      </c>
      <c r="I131" s="122">
        <v>0</v>
      </c>
      <c r="J131" s="122">
        <v>0</v>
      </c>
      <c r="K131" s="122">
        <v>0</v>
      </c>
    </row>
    <row r="132" spans="1:14" x14ac:dyDescent="0.2">
      <c r="A132" s="73" t="str">
        <f>'Balance Sheet'!A42</f>
        <v>Finance Div. Other LT Assets</v>
      </c>
      <c r="B132" s="122">
        <f>'Balance Sheet'!B42</f>
        <v>1943</v>
      </c>
      <c r="C132" s="122">
        <f>'Balance Sheet'!C42</f>
        <v>1537</v>
      </c>
      <c r="D132" s="122">
        <f>'Balance Sheet'!D42</f>
        <v>2129</v>
      </c>
      <c r="E132" s="122">
        <f>'Balance Sheet'!E42</f>
        <v>1889</v>
      </c>
      <c r="F132" s="122">
        <f>'Balance Sheet'!F42</f>
        <v>0</v>
      </c>
      <c r="G132" s="122">
        <f>'Balance Sheet'!G42</f>
        <v>0</v>
      </c>
      <c r="H132" s="122">
        <f t="shared" si="36"/>
        <v>0</v>
      </c>
      <c r="I132" s="122">
        <v>0</v>
      </c>
      <c r="J132" s="122">
        <v>0</v>
      </c>
      <c r="K132" s="122">
        <v>0</v>
      </c>
    </row>
    <row r="133" spans="1:14" x14ac:dyDescent="0.2">
      <c r="A133" s="73" t="str">
        <f>'Balance Sheet'!A43</f>
        <v>Accounts Receivable Long-Term</v>
      </c>
      <c r="B133" s="122">
        <f>'Balance Sheet'!B43</f>
        <v>166</v>
      </c>
      <c r="C133" s="122">
        <f>'Balance Sheet'!C43</f>
        <v>170</v>
      </c>
      <c r="D133" s="122">
        <f>'Balance Sheet'!D43</f>
        <v>159</v>
      </c>
      <c r="E133" s="122">
        <f>'Balance Sheet'!E43</f>
        <v>79</v>
      </c>
      <c r="F133" s="122">
        <f>'Balance Sheet'!F43</f>
        <v>36</v>
      </c>
      <c r="G133" s="122">
        <f>'Balance Sheet'!G43</f>
        <v>158</v>
      </c>
      <c r="H133" s="122">
        <f t="shared" si="36"/>
        <v>158</v>
      </c>
      <c r="I133" s="122">
        <f>I37*I52/365</f>
        <v>199.19425424657533</v>
      </c>
      <c r="J133" s="122">
        <f>J37*J52/365</f>
        <v>209.31332236230134</v>
      </c>
      <c r="K133" s="122">
        <f>K37*K52/365</f>
        <v>219.94643913830626</v>
      </c>
      <c r="L133" s="122"/>
    </row>
    <row r="134" spans="1:14" x14ac:dyDescent="0.2">
      <c r="A134" s="73" t="str">
        <f>'Balance Sheet'!A44</f>
        <v>Deferred Tax Assets, LT</v>
      </c>
      <c r="B134" s="122">
        <f>'Balance Sheet'!B44</f>
        <v>319</v>
      </c>
      <c r="C134" s="122">
        <f>'Balance Sheet'!C44</f>
        <v>485</v>
      </c>
      <c r="D134" s="122">
        <f>'Balance Sheet'!D44</f>
        <v>21</v>
      </c>
      <c r="E134" s="122">
        <f>'Balance Sheet'!E44</f>
        <v>84</v>
      </c>
      <c r="F134" s="122">
        <f>'Balance Sheet'!F44</f>
        <v>32</v>
      </c>
      <c r="G134" s="122">
        <f>'Balance Sheet'!G44</f>
        <v>47</v>
      </c>
      <c r="H134" s="122">
        <f t="shared" si="36"/>
        <v>47</v>
      </c>
      <c r="I134" s="122">
        <f>G134*(1+I42)</f>
        <v>51.7</v>
      </c>
      <c r="J134" s="122">
        <f>I134*(1+J42)</f>
        <v>56.870000000000005</v>
      </c>
      <c r="K134" s="122">
        <f>J134*(1+K42)</f>
        <v>62.557000000000009</v>
      </c>
    </row>
    <row r="135" spans="1:14" x14ac:dyDescent="0.2">
      <c r="A135" s="73" t="str">
        <f>'Balance Sheet'!A45</f>
        <v>Deferred Charges, LT</v>
      </c>
      <c r="B135" s="122">
        <f>'Balance Sheet'!B45</f>
        <v>0</v>
      </c>
      <c r="C135" s="122">
        <f>'Balance Sheet'!C45</f>
        <v>0</v>
      </c>
      <c r="D135" s="122">
        <f>'Balance Sheet'!D45</f>
        <v>0</v>
      </c>
      <c r="E135" s="122">
        <f>'Balance Sheet'!E45</f>
        <v>0</v>
      </c>
      <c r="F135" s="122">
        <f>'Balance Sheet'!F45</f>
        <v>0</v>
      </c>
      <c r="G135" s="122">
        <f>'Balance Sheet'!G45</f>
        <v>0</v>
      </c>
      <c r="H135" s="122">
        <f t="shared" si="36"/>
        <v>0</v>
      </c>
      <c r="I135" s="122">
        <v>0</v>
      </c>
      <c r="J135" s="122">
        <v>0</v>
      </c>
      <c r="K135" s="122">
        <v>0</v>
      </c>
    </row>
    <row r="136" spans="1:14" x14ac:dyDescent="0.2">
      <c r="A136" s="73" t="str">
        <f>'Balance Sheet'!A46</f>
        <v>Other Long-Term Assets</v>
      </c>
      <c r="B136" s="122">
        <f>'Balance Sheet'!B46</f>
        <v>2356</v>
      </c>
      <c r="C136" s="122">
        <f>'Balance Sheet'!C46</f>
        <v>1444</v>
      </c>
      <c r="D136" s="122">
        <f>'Balance Sheet'!D46</f>
        <v>4114</v>
      </c>
      <c r="E136" s="122">
        <f>'Balance Sheet'!E46</f>
        <v>903</v>
      </c>
      <c r="F136" s="122">
        <f>'Balance Sheet'!F46</f>
        <v>952</v>
      </c>
      <c r="G136" s="122">
        <f>'Balance Sheet'!G46</f>
        <v>867</v>
      </c>
      <c r="H136" s="122">
        <f t="shared" si="36"/>
        <v>867</v>
      </c>
      <c r="I136" s="122">
        <f>H136*(1+I44)</f>
        <v>953.7</v>
      </c>
      <c r="J136" s="122">
        <f t="shared" ref="J136:K136" si="38">I136*(1+J44)</f>
        <v>1049.0700000000002</v>
      </c>
      <c r="K136" s="122">
        <f t="shared" si="38"/>
        <v>1153.9770000000003</v>
      </c>
    </row>
    <row r="137" spans="1:14" x14ac:dyDescent="0.2">
      <c r="A137" s="73" t="str">
        <f>'Balance Sheet'!A47</f>
        <v>Total Assets</v>
      </c>
      <c r="B137" s="122">
        <f>'Balance Sheet'!B47</f>
        <v>53147</v>
      </c>
      <c r="C137" s="122">
        <f>'Balance Sheet'!C47</f>
        <v>45512</v>
      </c>
      <c r="D137" s="122">
        <f>'Balance Sheet'!D47</f>
        <v>49351</v>
      </c>
      <c r="E137" s="122">
        <f>'Balance Sheet'!E47</f>
        <v>45868</v>
      </c>
      <c r="F137" s="122">
        <f>'Balance Sheet'!F47</f>
        <v>47039</v>
      </c>
      <c r="G137" s="122">
        <f>'Balance Sheet'!G47</f>
        <v>38890</v>
      </c>
      <c r="H137" s="122">
        <f>SUM(H128:H136,H126,H122)</f>
        <v>85731</v>
      </c>
      <c r="I137" s="122">
        <f>SUM(I122,I126,I128:I136)</f>
        <v>88254.538228774356</v>
      </c>
      <c r="J137" s="122">
        <f>SUM(J122,J126,J128:J136)</f>
        <v>88896.744370796107</v>
      </c>
      <c r="K137" s="122">
        <f>SUM(K122,K126,K128:K136)</f>
        <v>89588.70230483255</v>
      </c>
    </row>
    <row r="138" spans="1:14" x14ac:dyDescent="0.2">
      <c r="B138" s="122"/>
      <c r="C138" s="122"/>
      <c r="D138" s="122"/>
      <c r="E138" s="122"/>
      <c r="F138" s="122"/>
      <c r="G138" s="122"/>
      <c r="H138" s="122"/>
      <c r="I138" s="122"/>
      <c r="J138" s="122"/>
      <c r="K138" s="122"/>
    </row>
    <row r="139" spans="1:14" x14ac:dyDescent="0.2">
      <c r="A139" s="73" t="str">
        <f>'Balance Sheet'!A49</f>
        <v>LIABILITIES</v>
      </c>
      <c r="B139" s="122"/>
      <c r="C139" s="122"/>
      <c r="D139" s="122"/>
      <c r="E139" s="122"/>
      <c r="F139" s="122"/>
      <c r="G139" s="122"/>
      <c r="H139" s="122"/>
      <c r="I139" s="122"/>
      <c r="J139" s="122"/>
      <c r="K139" s="122"/>
    </row>
    <row r="140" spans="1:14" x14ac:dyDescent="0.2">
      <c r="A140" s="73" t="str">
        <f>'Balance Sheet'!A50</f>
        <v>Accounts Payable</v>
      </c>
      <c r="B140" s="122">
        <f>'Balance Sheet'!B50</f>
        <v>8922</v>
      </c>
      <c r="C140" s="122">
        <f>'Balance Sheet'!C50</f>
        <v>8399</v>
      </c>
      <c r="D140" s="122">
        <f>'Balance Sheet'!D50</f>
        <v>9181</v>
      </c>
      <c r="E140" s="122">
        <f>'Balance Sheet'!E50</f>
        <v>9762</v>
      </c>
      <c r="F140" s="122">
        <f>'Balance Sheet'!F50</f>
        <v>10264</v>
      </c>
      <c r="G140" s="122">
        <f>'Balance Sheet'!G50</f>
        <v>10364</v>
      </c>
      <c r="H140" s="122">
        <f>G140</f>
        <v>10364</v>
      </c>
      <c r="I140" s="122">
        <f>I26*I58/365</f>
        <v>12063.001869651362</v>
      </c>
      <c r="J140" s="122">
        <f>J26*J58/365</f>
        <v>12675.802364629653</v>
      </c>
      <c r="K140" s="122">
        <f>K26*K58/365</f>
        <v>13319.733124752838</v>
      </c>
      <c r="M140" s="73"/>
      <c r="N140" s="177"/>
    </row>
    <row r="141" spans="1:14" x14ac:dyDescent="0.2">
      <c r="A141" s="73" t="str">
        <f>'Balance Sheet'!A51</f>
        <v>Accrued Exp.</v>
      </c>
      <c r="B141" s="122">
        <f>'Balance Sheet'!B51</f>
        <v>0</v>
      </c>
      <c r="C141" s="122">
        <f>'Balance Sheet'!C51</f>
        <v>0</v>
      </c>
      <c r="D141" s="122">
        <f>'Balance Sheet'!D51</f>
        <v>0</v>
      </c>
      <c r="E141" s="122">
        <f>'Balance Sheet'!E51</f>
        <v>0</v>
      </c>
      <c r="F141" s="122">
        <f>'Balance Sheet'!F51</f>
        <v>0</v>
      </c>
      <c r="G141" s="122">
        <f>'Balance Sheet'!G51</f>
        <v>0</v>
      </c>
      <c r="H141" s="122">
        <f>G141</f>
        <v>0</v>
      </c>
      <c r="I141" s="122">
        <v>0</v>
      </c>
      <c r="J141" s="122">
        <v>0</v>
      </c>
      <c r="K141" s="122">
        <v>0</v>
      </c>
      <c r="M141" s="73"/>
      <c r="N141" s="177"/>
    </row>
    <row r="142" spans="1:14" x14ac:dyDescent="0.2">
      <c r="A142" s="73" t="str">
        <f>'Balance Sheet'!A52</f>
        <v>Short-term Borrowings</v>
      </c>
      <c r="B142" s="122">
        <f>'Balance Sheet'!B52</f>
        <v>1142</v>
      </c>
      <c r="C142" s="122">
        <f>'Balance Sheet'!C52</f>
        <v>559</v>
      </c>
      <c r="D142" s="122">
        <f>'Balance Sheet'!D52</f>
        <v>605</v>
      </c>
      <c r="E142" s="122">
        <f>'Balance Sheet'!E52</f>
        <v>928</v>
      </c>
      <c r="F142" s="122">
        <f>'Balance Sheet'!F52</f>
        <v>838</v>
      </c>
      <c r="G142" s="122">
        <f>'Balance Sheet'!G52</f>
        <v>882</v>
      </c>
      <c r="H142" s="122">
        <v>16738</v>
      </c>
      <c r="I142" s="122">
        <v>16478</v>
      </c>
      <c r="J142" s="122">
        <v>16395</v>
      </c>
      <c r="K142" s="122">
        <v>16389</v>
      </c>
      <c r="M142" s="73"/>
      <c r="N142" s="177"/>
    </row>
    <row r="143" spans="1:14" x14ac:dyDescent="0.2">
      <c r="A143" s="73" t="str">
        <f>'Balance Sheet'!A53</f>
        <v>Curr. Port. of LT Debt</v>
      </c>
      <c r="B143" s="122">
        <f>'Balance Sheet'!B53</f>
        <v>1077</v>
      </c>
      <c r="C143" s="122">
        <f>'Balance Sheet'!C53</f>
        <v>521</v>
      </c>
      <c r="D143" s="122">
        <f>'Balance Sheet'!D53</f>
        <v>120</v>
      </c>
      <c r="E143" s="122">
        <f>'Balance Sheet'!E53</f>
        <v>842</v>
      </c>
      <c r="F143" s="122">
        <f>'Balance Sheet'!F53</f>
        <v>698</v>
      </c>
      <c r="G143" s="122">
        <f>'Balance Sheet'!G53</f>
        <v>979</v>
      </c>
      <c r="H143" s="122">
        <f>0.2*(23037+6976)</f>
        <v>6002.6</v>
      </c>
      <c r="I143" s="122">
        <f>H143</f>
        <v>6002.6</v>
      </c>
      <c r="J143" s="122">
        <f>H143</f>
        <v>6002.6</v>
      </c>
      <c r="K143" s="122">
        <f>H143</f>
        <v>6002.6</v>
      </c>
      <c r="L143" s="185"/>
      <c r="M143" s="73"/>
      <c r="N143" s="177"/>
    </row>
    <row r="144" spans="1:14" x14ac:dyDescent="0.2">
      <c r="A144" s="73" t="str">
        <f>'Balance Sheet'!A54</f>
        <v>Curr. Port. of Leases</v>
      </c>
      <c r="B144" s="122">
        <f>'Balance Sheet'!B54</f>
        <v>598</v>
      </c>
      <c r="C144" s="122">
        <f>'Balance Sheet'!C54</f>
        <v>575</v>
      </c>
      <c r="D144" s="122">
        <f>'Balance Sheet'!D54</f>
        <v>547</v>
      </c>
      <c r="E144" s="122">
        <f>'Balance Sheet'!E54</f>
        <v>595</v>
      </c>
      <c r="F144" s="122">
        <f>'Balance Sheet'!F54</f>
        <v>584</v>
      </c>
      <c r="G144" s="122">
        <f>'Balance Sheet'!G54</f>
        <v>618</v>
      </c>
      <c r="H144" s="122">
        <v>0</v>
      </c>
      <c r="I144" s="122">
        <f t="shared" ref="I144:I149" si="39">H144</f>
        <v>0</v>
      </c>
      <c r="J144" s="122">
        <f t="shared" ref="J144:J149" si="40">H144</f>
        <v>0</v>
      </c>
      <c r="K144" s="122">
        <f t="shared" ref="K144:K149" si="41">H144</f>
        <v>0</v>
      </c>
      <c r="M144" s="73"/>
      <c r="N144" s="177"/>
    </row>
    <row r="145" spans="1:14" x14ac:dyDescent="0.2">
      <c r="A145" s="73" t="str">
        <f>'Balance Sheet'!A55</f>
        <v>Finance Div. Debt Current</v>
      </c>
      <c r="B145" s="122">
        <f>'Balance Sheet'!B55</f>
        <v>0</v>
      </c>
      <c r="C145" s="122">
        <f>'Balance Sheet'!C55</f>
        <v>0</v>
      </c>
      <c r="D145" s="122">
        <f>'Balance Sheet'!D55</f>
        <v>0</v>
      </c>
      <c r="E145" s="122">
        <f>'Balance Sheet'!E55</f>
        <v>0</v>
      </c>
      <c r="F145" s="122">
        <f>'Balance Sheet'!F55</f>
        <v>0</v>
      </c>
      <c r="G145" s="122">
        <f>'Balance Sheet'!G55</f>
        <v>0</v>
      </c>
      <c r="H145" s="122">
        <v>0</v>
      </c>
      <c r="I145" s="122">
        <f t="shared" si="39"/>
        <v>0</v>
      </c>
      <c r="J145" s="122">
        <f t="shared" si="40"/>
        <v>0</v>
      </c>
      <c r="K145" s="122">
        <f t="shared" si="41"/>
        <v>0</v>
      </c>
      <c r="M145" s="73"/>
      <c r="N145" s="177"/>
    </row>
    <row r="146" spans="1:14" x14ac:dyDescent="0.2">
      <c r="A146" s="73" t="str">
        <f>'Balance Sheet'!A56</f>
        <v>Finance Div. Other Curr. Liab.</v>
      </c>
      <c r="B146" s="122">
        <f>'Balance Sheet'!B56</f>
        <v>6377</v>
      </c>
      <c r="C146" s="122">
        <f>'Balance Sheet'!C56</f>
        <v>5321</v>
      </c>
      <c r="D146" s="122">
        <f>'Balance Sheet'!D56</f>
        <v>4729</v>
      </c>
      <c r="E146" s="122">
        <f>'Balance Sheet'!E56</f>
        <v>4485</v>
      </c>
      <c r="F146" s="122">
        <f>'Balance Sheet'!F56</f>
        <v>108</v>
      </c>
      <c r="G146" s="122">
        <f>'Balance Sheet'!G56</f>
        <v>0</v>
      </c>
      <c r="H146" s="122">
        <v>0</v>
      </c>
      <c r="I146" s="122">
        <f t="shared" si="39"/>
        <v>0</v>
      </c>
      <c r="J146" s="122">
        <f t="shared" si="40"/>
        <v>0</v>
      </c>
      <c r="K146" s="122">
        <f t="shared" si="41"/>
        <v>0</v>
      </c>
      <c r="M146" s="73"/>
      <c r="N146" s="179"/>
    </row>
    <row r="147" spans="1:14" x14ac:dyDescent="0.2">
      <c r="A147" s="73" t="str">
        <f>'Balance Sheet'!A57</f>
        <v>Curr. Income Taxes Payable</v>
      </c>
      <c r="B147" s="122">
        <f>'Balance Sheet'!B57</f>
        <v>324</v>
      </c>
      <c r="C147" s="122">
        <f>'Balance Sheet'!C57</f>
        <v>79</v>
      </c>
      <c r="D147" s="122">
        <f>'Balance Sheet'!D57</f>
        <v>11</v>
      </c>
      <c r="E147" s="122">
        <f>'Balance Sheet'!E57</f>
        <v>18</v>
      </c>
      <c r="F147" s="122">
        <f>'Balance Sheet'!F57</f>
        <v>1</v>
      </c>
      <c r="G147" s="122">
        <f>'Balance Sheet'!G57</f>
        <v>13</v>
      </c>
      <c r="H147" s="122">
        <f>G147</f>
        <v>13</v>
      </c>
      <c r="I147" s="122">
        <f t="shared" si="39"/>
        <v>13</v>
      </c>
      <c r="J147" s="122">
        <f t="shared" si="40"/>
        <v>13</v>
      </c>
      <c r="K147" s="122">
        <f t="shared" si="41"/>
        <v>13</v>
      </c>
    </row>
    <row r="148" spans="1:14" x14ac:dyDescent="0.2">
      <c r="A148" s="73" t="str">
        <f>'Balance Sheet'!A58</f>
        <v>Unearned Revenue, Current</v>
      </c>
      <c r="B148" s="122">
        <f>'Balance Sheet'!B58</f>
        <v>0</v>
      </c>
      <c r="C148" s="122">
        <f>'Balance Sheet'!C58</f>
        <v>0</v>
      </c>
      <c r="D148" s="122">
        <f>'Balance Sheet'!D58</f>
        <v>0</v>
      </c>
      <c r="E148" s="122">
        <f>'Balance Sheet'!E58</f>
        <v>0</v>
      </c>
      <c r="F148" s="122">
        <f>'Balance Sheet'!F58</f>
        <v>0</v>
      </c>
      <c r="G148" s="122">
        <f>'Balance Sheet'!G58</f>
        <v>0</v>
      </c>
      <c r="H148" s="122">
        <v>0</v>
      </c>
      <c r="I148" s="122">
        <f t="shared" si="39"/>
        <v>0</v>
      </c>
      <c r="J148" s="122">
        <f t="shared" si="40"/>
        <v>0</v>
      </c>
      <c r="K148" s="122">
        <f t="shared" si="41"/>
        <v>0</v>
      </c>
    </row>
    <row r="149" spans="1:14" x14ac:dyDescent="0.2">
      <c r="A149" s="73" t="str">
        <f>'Balance Sheet'!A59</f>
        <v>Other Current Liabilities</v>
      </c>
      <c r="B149" s="122">
        <f>'Balance Sheet'!B59</f>
        <v>216</v>
      </c>
      <c r="C149" s="122">
        <f>'Balance Sheet'!C59</f>
        <v>543</v>
      </c>
      <c r="D149" s="122">
        <f>'Balance Sheet'!D59</f>
        <v>946</v>
      </c>
      <c r="E149" s="122">
        <f>'Balance Sheet'!E59</f>
        <v>980</v>
      </c>
      <c r="F149" s="122">
        <f>'Balance Sheet'!F59</f>
        <v>7979</v>
      </c>
      <c r="G149" s="122">
        <f>'Balance Sheet'!G59</f>
        <v>964</v>
      </c>
      <c r="H149" s="122">
        <f>G149</f>
        <v>964</v>
      </c>
      <c r="I149" s="122">
        <f t="shared" si="39"/>
        <v>964</v>
      </c>
      <c r="J149" s="122">
        <f t="shared" si="40"/>
        <v>964</v>
      </c>
      <c r="K149" s="122">
        <f t="shared" si="41"/>
        <v>964</v>
      </c>
    </row>
    <row r="150" spans="1:14" x14ac:dyDescent="0.2">
      <c r="A150" s="73" t="str">
        <f>'Balance Sheet'!A60</f>
        <v xml:space="preserve">  Total Current Liabilities</v>
      </c>
      <c r="B150" s="122">
        <f>'Balance Sheet'!B60</f>
        <v>18656</v>
      </c>
      <c r="C150" s="122">
        <f>'Balance Sheet'!C60</f>
        <v>15997</v>
      </c>
      <c r="D150" s="122">
        <f>'Balance Sheet'!D60</f>
        <v>16139</v>
      </c>
      <c r="E150" s="122">
        <f>'Balance Sheet'!E60</f>
        <v>17610</v>
      </c>
      <c r="F150" s="122">
        <f>'Balance Sheet'!F60</f>
        <v>20472</v>
      </c>
      <c r="G150" s="122">
        <f>'Balance Sheet'!G60</f>
        <v>13820</v>
      </c>
      <c r="H150" s="122">
        <f>SUM(H140:H149)</f>
        <v>34081.599999999999</v>
      </c>
      <c r="I150" s="122">
        <f>SUM(I140:I149)</f>
        <v>35520.601869651364</v>
      </c>
      <c r="J150" s="122">
        <f>SUM(J140:J149)</f>
        <v>36050.402364629655</v>
      </c>
      <c r="K150" s="122">
        <f t="shared" ref="K150" si="42">SUM(K140:K149)</f>
        <v>36688.33312475284</v>
      </c>
    </row>
    <row r="151" spans="1:14" x14ac:dyDescent="0.2">
      <c r="B151" s="122"/>
      <c r="C151" s="122"/>
      <c r="D151" s="122"/>
      <c r="E151" s="122"/>
      <c r="F151" s="122"/>
      <c r="G151" s="122"/>
      <c r="H151" s="122"/>
      <c r="I151" s="122"/>
      <c r="J151" s="122"/>
      <c r="K151" s="122"/>
    </row>
    <row r="152" spans="1:14" x14ac:dyDescent="0.2">
      <c r="A152" s="73" t="str">
        <f>'Balance Sheet'!A62</f>
        <v>Long-Term Debt</v>
      </c>
      <c r="B152" s="122">
        <f>'Balance Sheet'!B62</f>
        <v>6005</v>
      </c>
      <c r="C152" s="122">
        <f>'Balance Sheet'!C62</f>
        <v>6188</v>
      </c>
      <c r="D152" s="122">
        <f>'Balance Sheet'!D62</f>
        <v>6674</v>
      </c>
      <c r="E152" s="122">
        <f>'Balance Sheet'!E62</f>
        <v>5581</v>
      </c>
      <c r="F152" s="122">
        <f>'Balance Sheet'!F62</f>
        <v>5683</v>
      </c>
      <c r="G152" s="122">
        <f>'Balance Sheet'!G62</f>
        <v>5089</v>
      </c>
      <c r="H152" s="122">
        <f>0.8*(23037+6976)</f>
        <v>24010.400000000001</v>
      </c>
      <c r="I152" s="122">
        <f>H152-H143+6263</f>
        <v>24270.800000000003</v>
      </c>
      <c r="J152" s="122">
        <f>I152-J143+6086</f>
        <v>24354.200000000004</v>
      </c>
      <c r="K152" s="122">
        <f>J152-K143+6009</f>
        <v>24360.600000000006</v>
      </c>
    </row>
    <row r="153" spans="1:14" x14ac:dyDescent="0.2">
      <c r="A153" s="73" t="str">
        <f>'Balance Sheet'!A63</f>
        <v>Long-Term Leases</v>
      </c>
      <c r="B153" s="122">
        <f>'Balance Sheet'!B63</f>
        <v>8968</v>
      </c>
      <c r="C153" s="122">
        <f>'Balance Sheet'!C63</f>
        <v>7827</v>
      </c>
      <c r="D153" s="122">
        <f>'Balance Sheet'!D63</f>
        <v>7411</v>
      </c>
      <c r="E153" s="122">
        <f>'Balance Sheet'!E63</f>
        <v>7132</v>
      </c>
      <c r="F153" s="122">
        <f>'Balance Sheet'!F63</f>
        <v>7038</v>
      </c>
      <c r="G153" s="122">
        <f>'Balance Sheet'!G63</f>
        <v>7098</v>
      </c>
      <c r="H153" s="122">
        <v>0</v>
      </c>
      <c r="I153" s="122">
        <f>H153</f>
        <v>0</v>
      </c>
      <c r="J153" s="122">
        <f>H153</f>
        <v>0</v>
      </c>
      <c r="K153" s="122">
        <f>J153</f>
        <v>0</v>
      </c>
    </row>
    <row r="154" spans="1:14" x14ac:dyDescent="0.2">
      <c r="A154" s="73" t="s">
        <v>833</v>
      </c>
      <c r="B154" s="122">
        <f>'Balance Sheet'!B64</f>
        <v>0</v>
      </c>
      <c r="C154" s="122">
        <f>'Balance Sheet'!C64</f>
        <v>0</v>
      </c>
      <c r="D154" s="122">
        <f>'Balance Sheet'!D64</f>
        <v>0</v>
      </c>
      <c r="E154" s="122">
        <f>'Balance Sheet'!E64</f>
        <v>0</v>
      </c>
      <c r="F154" s="122">
        <f>'Balance Sheet'!F64</f>
        <v>0</v>
      </c>
      <c r="G154" s="122">
        <f>'Balance Sheet'!G64</f>
        <v>0</v>
      </c>
      <c r="H154" s="122">
        <v>7562</v>
      </c>
      <c r="I154" s="122">
        <f>H154</f>
        <v>7562</v>
      </c>
      <c r="J154" s="122">
        <f>H154</f>
        <v>7562</v>
      </c>
      <c r="K154" s="122">
        <f>J154</f>
        <v>7562</v>
      </c>
    </row>
    <row r="155" spans="1:14" x14ac:dyDescent="0.2">
      <c r="A155" s="5" t="s">
        <v>232</v>
      </c>
      <c r="B155" s="71">
        <f>'Balance Sheet'!B64</f>
        <v>0</v>
      </c>
      <c r="C155" s="71">
        <f>'Balance Sheet'!C64</f>
        <v>0</v>
      </c>
      <c r="D155" s="71">
        <f>'Balance Sheet'!D64</f>
        <v>0</v>
      </c>
      <c r="E155" s="71">
        <f>'Balance Sheet'!E64</f>
        <v>0</v>
      </c>
      <c r="F155" s="71">
        <f>'Balance Sheet'!F64</f>
        <v>0</v>
      </c>
      <c r="G155" s="71">
        <f>'Balance Sheet'!G64</f>
        <v>0</v>
      </c>
      <c r="H155" s="71">
        <f>'Balance Sheet'!H64</f>
        <v>0</v>
      </c>
      <c r="I155" s="71">
        <f>'Balance Sheet'!I64</f>
        <v>0</v>
      </c>
      <c r="J155" s="71">
        <f>'Balance Sheet'!J64</f>
        <v>0</v>
      </c>
      <c r="K155" s="71">
        <f>'Balance Sheet'!K64</f>
        <v>0</v>
      </c>
    </row>
    <row r="156" spans="1:14" x14ac:dyDescent="0.2">
      <c r="A156" s="73" t="str">
        <f>'Balance Sheet'!A65</f>
        <v>Finance Div. Other Non-Curr. Liab.</v>
      </c>
      <c r="B156" s="122">
        <f>'Balance Sheet'!B65</f>
        <v>1830</v>
      </c>
      <c r="C156" s="122">
        <f>'Balance Sheet'!C65</f>
        <v>1017</v>
      </c>
      <c r="D156" s="122">
        <f>'Balance Sheet'!D65</f>
        <v>1650</v>
      </c>
      <c r="E156" s="122">
        <f>'Balance Sheet'!E65</f>
        <v>2265</v>
      </c>
      <c r="F156" s="122">
        <f>'Balance Sheet'!F65</f>
        <v>0</v>
      </c>
      <c r="G156" s="122">
        <f>'Balance Sheet'!G65</f>
        <v>0</v>
      </c>
      <c r="H156" s="122">
        <v>0</v>
      </c>
      <c r="I156" s="122">
        <f t="shared" ref="I156:I160" si="43">H156</f>
        <v>0</v>
      </c>
      <c r="J156" s="122">
        <f t="shared" ref="J156:J160" si="44">H156</f>
        <v>0</v>
      </c>
      <c r="K156" s="122">
        <f t="shared" ref="K156:K160" si="45">J156</f>
        <v>0</v>
      </c>
    </row>
    <row r="157" spans="1:14" x14ac:dyDescent="0.2">
      <c r="A157" s="73" t="str">
        <f>'Balance Sheet'!A66</f>
        <v>Unearned Revenue, Non-Current</v>
      </c>
      <c r="B157" s="122">
        <f>'Balance Sheet'!B66</f>
        <v>0</v>
      </c>
      <c r="C157" s="122">
        <f>'Balance Sheet'!C66</f>
        <v>0</v>
      </c>
      <c r="D157" s="122">
        <f>'Balance Sheet'!D66</f>
        <v>0</v>
      </c>
      <c r="E157" s="122">
        <f>'Balance Sheet'!E66</f>
        <v>0</v>
      </c>
      <c r="F157" s="122">
        <f>'Balance Sheet'!F66</f>
        <v>0</v>
      </c>
      <c r="G157" s="122">
        <f>'Balance Sheet'!G66</f>
        <v>0</v>
      </c>
      <c r="H157" s="122">
        <v>0</v>
      </c>
      <c r="I157" s="122">
        <f t="shared" si="43"/>
        <v>0</v>
      </c>
      <c r="J157" s="122">
        <f t="shared" si="44"/>
        <v>0</v>
      </c>
      <c r="K157" s="122">
        <f t="shared" si="45"/>
        <v>0</v>
      </c>
    </row>
    <row r="158" spans="1:14" x14ac:dyDescent="0.2">
      <c r="A158" s="73" t="str">
        <f>'Balance Sheet'!A67</f>
        <v>Pension &amp; Other Post-Retire. Benefits</v>
      </c>
      <c r="B158" s="122">
        <f>'Balance Sheet'!B67</f>
        <v>3085</v>
      </c>
      <c r="C158" s="122">
        <f>'Balance Sheet'!C67</f>
        <v>1222</v>
      </c>
      <c r="D158" s="122">
        <f>'Balance Sheet'!D67</f>
        <v>303</v>
      </c>
      <c r="E158" s="122">
        <f>'Balance Sheet'!E67</f>
        <v>400</v>
      </c>
      <c r="F158" s="122">
        <f>'Balance Sheet'!F67</f>
        <v>657</v>
      </c>
      <c r="G158" s="122">
        <f>'Balance Sheet'!G67</f>
        <v>307</v>
      </c>
      <c r="H158" s="122">
        <f>G158</f>
        <v>307</v>
      </c>
      <c r="I158" s="122">
        <f t="shared" si="43"/>
        <v>307</v>
      </c>
      <c r="J158" s="122">
        <f t="shared" si="44"/>
        <v>307</v>
      </c>
      <c r="K158" s="122">
        <f t="shared" si="45"/>
        <v>307</v>
      </c>
    </row>
    <row r="159" spans="1:14" x14ac:dyDescent="0.2">
      <c r="A159" s="73" t="str">
        <f>'Balance Sheet'!A68</f>
        <v>Def. Tax Liability, Non-Curr.</v>
      </c>
      <c r="B159" s="122">
        <f>'Balance Sheet'!B68</f>
        <v>40</v>
      </c>
      <c r="C159" s="122">
        <f>'Balance Sheet'!C68</f>
        <v>48</v>
      </c>
      <c r="D159" s="122">
        <f>'Balance Sheet'!D68</f>
        <v>910</v>
      </c>
      <c r="E159" s="122">
        <f>'Balance Sheet'!E68</f>
        <v>119</v>
      </c>
      <c r="F159" s="122">
        <f>'Balance Sheet'!F68</f>
        <v>269</v>
      </c>
      <c r="G159" s="122">
        <f>'Balance Sheet'!G68</f>
        <v>503</v>
      </c>
      <c r="H159" s="122">
        <f>G159</f>
        <v>503</v>
      </c>
      <c r="I159" s="122">
        <f t="shared" si="43"/>
        <v>503</v>
      </c>
      <c r="J159" s="122">
        <f t="shared" si="44"/>
        <v>503</v>
      </c>
      <c r="K159" s="122">
        <f t="shared" si="45"/>
        <v>503</v>
      </c>
    </row>
    <row r="160" spans="1:14" x14ac:dyDescent="0.2">
      <c r="A160" s="73" t="str">
        <f>'Balance Sheet'!A69</f>
        <v>Other Non-Current Liabilities</v>
      </c>
      <c r="B160" s="122">
        <f>'Balance Sheet'!B69</f>
        <v>1194</v>
      </c>
      <c r="C160" s="122">
        <f>'Balance Sheet'!C69</f>
        <v>1154</v>
      </c>
      <c r="D160" s="122">
        <f>'Balance Sheet'!D69</f>
        <v>620</v>
      </c>
      <c r="E160" s="122">
        <f>'Balance Sheet'!E69</f>
        <v>536</v>
      </c>
      <c r="F160" s="122">
        <f>'Balance Sheet'!F69</f>
        <v>1255</v>
      </c>
      <c r="G160" s="122">
        <f>'Balance Sheet'!G69</f>
        <v>411</v>
      </c>
      <c r="H160" s="122">
        <f>G160</f>
        <v>411</v>
      </c>
      <c r="I160" s="122">
        <f t="shared" si="43"/>
        <v>411</v>
      </c>
      <c r="J160" s="122">
        <f t="shared" si="44"/>
        <v>411</v>
      </c>
      <c r="K160" s="122">
        <f t="shared" si="45"/>
        <v>411</v>
      </c>
    </row>
    <row r="161" spans="1:11" x14ac:dyDescent="0.2">
      <c r="A161" s="73" t="str">
        <f>'Balance Sheet'!A70</f>
        <v>Total Liabilities</v>
      </c>
      <c r="B161" s="122">
        <f>'Balance Sheet'!B70</f>
        <v>39778</v>
      </c>
      <c r="C161" s="122">
        <f>'Balance Sheet'!C70</f>
        <v>33453</v>
      </c>
      <c r="D161" s="122">
        <f>'Balance Sheet'!D70</f>
        <v>33707</v>
      </c>
      <c r="E161" s="122">
        <f>'Balance Sheet'!E70</f>
        <v>33643</v>
      </c>
      <c r="F161" s="122">
        <f>'Balance Sheet'!F70</f>
        <v>35374</v>
      </c>
      <c r="G161" s="122">
        <f>'Balance Sheet'!G70</f>
        <v>27228</v>
      </c>
      <c r="H161" s="122">
        <f>SUM(H152:H160,H150)</f>
        <v>66875</v>
      </c>
      <c r="I161" s="122">
        <f>SUM(I152:I160,I150)</f>
        <v>68574.401869651367</v>
      </c>
      <c r="J161" s="122">
        <f>SUM(J150,J152:J160)</f>
        <v>69187.602364629653</v>
      </c>
      <c r="K161" s="122">
        <f>SUM(K152:K160,K150)</f>
        <v>69831.933124752846</v>
      </c>
    </row>
    <row r="162" spans="1:11" x14ac:dyDescent="0.2">
      <c r="B162" s="122"/>
      <c r="C162" s="122"/>
      <c r="D162" s="122"/>
      <c r="E162" s="122"/>
      <c r="F162" s="122"/>
      <c r="G162" s="122"/>
      <c r="H162" s="122"/>
      <c r="I162" s="122"/>
      <c r="J162" s="122"/>
      <c r="K162" s="122"/>
    </row>
    <row r="163" spans="1:11" x14ac:dyDescent="0.2">
      <c r="A163" s="73" t="str">
        <f>'Balance Sheet'!A72</f>
        <v>Common Stock</v>
      </c>
      <c r="B163" s="122">
        <f>'Balance Sheet'!B72</f>
        <v>490</v>
      </c>
      <c r="C163" s="122">
        <f>'Balance Sheet'!C72</f>
        <v>490</v>
      </c>
      <c r="D163" s="122">
        <f>'Balance Sheet'!D72</f>
        <v>484</v>
      </c>
      <c r="E163" s="122">
        <f>'Balance Sheet'!E72</f>
        <v>463</v>
      </c>
      <c r="F163" s="122">
        <f>'Balance Sheet'!F72</f>
        <v>445</v>
      </c>
      <c r="G163" s="122">
        <f>'Balance Sheet'!G72</f>
        <v>426</v>
      </c>
      <c r="H163" s="122">
        <v>18856</v>
      </c>
      <c r="I163" s="122">
        <f>H163</f>
        <v>18856</v>
      </c>
      <c r="J163" s="122">
        <f>H163</f>
        <v>18856</v>
      </c>
      <c r="K163" s="122">
        <f>H163</f>
        <v>18856</v>
      </c>
    </row>
    <row r="164" spans="1:11" x14ac:dyDescent="0.2">
      <c r="A164" s="73" t="str">
        <f>'Balance Sheet'!A73</f>
        <v>Additional Paid In Capital</v>
      </c>
      <c r="B164" s="122">
        <f>'Balance Sheet'!B73</f>
        <v>5165</v>
      </c>
      <c r="C164" s="122">
        <f>'Balance Sheet'!C73</f>
        <v>5165</v>
      </c>
      <c r="D164" s="122">
        <f>'Balance Sheet'!D73</f>
        <v>5165</v>
      </c>
      <c r="E164" s="122">
        <f>'Balance Sheet'!E73</f>
        <v>5165</v>
      </c>
      <c r="F164" s="122">
        <f>'Balance Sheet'!F73</f>
        <v>5165</v>
      </c>
      <c r="G164" s="122">
        <f>'Balance Sheet'!G73</f>
        <v>5165</v>
      </c>
      <c r="H164" s="122">
        <v>0</v>
      </c>
      <c r="I164" s="122">
        <f>H164</f>
        <v>0</v>
      </c>
      <c r="J164" s="122">
        <f>I164</f>
        <v>0</v>
      </c>
      <c r="K164" s="122">
        <f>H164</f>
        <v>0</v>
      </c>
    </row>
    <row r="165" spans="1:11" x14ac:dyDescent="0.2">
      <c r="A165" s="73" t="str">
        <f>'Balance Sheet'!A74</f>
        <v>Retained Earnings</v>
      </c>
      <c r="B165" s="122">
        <f>'Balance Sheet'!B74</f>
        <v>4078</v>
      </c>
      <c r="C165" s="122">
        <f>'Balance Sheet'!C74</f>
        <v>3239</v>
      </c>
      <c r="D165" s="122">
        <f>'Balance Sheet'!D74</f>
        <v>6932</v>
      </c>
      <c r="E165" s="122">
        <f>'Balance Sheet'!E74</f>
        <v>3469</v>
      </c>
      <c r="F165" s="122">
        <f>'Balance Sheet'!F74</f>
        <v>2930</v>
      </c>
      <c r="G165" s="122">
        <f>'Balance Sheet'!G74</f>
        <v>2935</v>
      </c>
      <c r="H165" s="122">
        <v>0</v>
      </c>
      <c r="I165" s="122">
        <f>I100+'Cash Flow'!G59-'Cash Flow'!G62</f>
        <v>824.34922976000007</v>
      </c>
      <c r="J165" s="122">
        <f>J100+'Cash Flow'!G59-'Cash Flow'!G62</f>
        <v>852.98728696412627</v>
      </c>
      <c r="K165" s="122">
        <f>K100+'Cash Flow'!G59-'Cash Flow'!G62</f>
        <v>900.81720846925487</v>
      </c>
    </row>
    <row r="166" spans="1:11" x14ac:dyDescent="0.2">
      <c r="A166" s="73" t="str">
        <f>'Balance Sheet'!A75</f>
        <v>Treasury Stock</v>
      </c>
      <c r="B166" s="122">
        <f>'Balance Sheet'!B75</f>
        <v>-250</v>
      </c>
      <c r="C166" s="122">
        <f>'Balance Sheet'!C75</f>
        <v>-188</v>
      </c>
      <c r="D166" s="122">
        <f>'Balance Sheet'!D75</f>
        <v>-365</v>
      </c>
      <c r="E166" s="122">
        <f>'Balance Sheet'!E75</f>
        <v>-359</v>
      </c>
      <c r="F166" s="122">
        <f>'Balance Sheet'!F75</f>
        <v>-315</v>
      </c>
      <c r="G166" s="122">
        <f>'Balance Sheet'!G75</f>
        <v>-280</v>
      </c>
      <c r="H166" s="122">
        <v>0</v>
      </c>
      <c r="I166" s="122">
        <f t="shared" ref="I166:I167" si="46">H166</f>
        <v>0</v>
      </c>
      <c r="J166" s="122">
        <f>I166</f>
        <v>0</v>
      </c>
      <c r="K166" s="122">
        <v>0</v>
      </c>
    </row>
    <row r="167" spans="1:11" x14ac:dyDescent="0.2">
      <c r="A167" s="73" t="str">
        <f>'Balance Sheet'!A76</f>
        <v>Comprehensive Inc. and Other</v>
      </c>
      <c r="B167" s="122">
        <f>'Balance Sheet'!B76</f>
        <v>3908</v>
      </c>
      <c r="C167" s="122">
        <f>'Balance Sheet'!C76</f>
        <v>3371</v>
      </c>
      <c r="D167" s="122">
        <f>'Balance Sheet'!D76</f>
        <v>3444</v>
      </c>
      <c r="E167" s="122">
        <f>'Balance Sheet'!E76</f>
        <v>3498</v>
      </c>
      <c r="F167" s="122">
        <f>'Balance Sheet'!F76</f>
        <v>3446</v>
      </c>
      <c r="G167" s="122">
        <f>'Balance Sheet'!G76</f>
        <v>3420</v>
      </c>
      <c r="H167" s="122">
        <v>0</v>
      </c>
      <c r="I167" s="122">
        <f t="shared" si="46"/>
        <v>0</v>
      </c>
      <c r="J167" s="122">
        <f>I167</f>
        <v>0</v>
      </c>
      <c r="K167" s="122">
        <v>0</v>
      </c>
    </row>
    <row r="168" spans="1:11" x14ac:dyDescent="0.2">
      <c r="A168" s="73" t="str">
        <f>'Balance Sheet'!A77</f>
        <v xml:space="preserve">  Total Common Equity</v>
      </c>
      <c r="B168" s="122">
        <f>'Balance Sheet'!B77</f>
        <v>13391</v>
      </c>
      <c r="C168" s="122">
        <f>'Balance Sheet'!C77</f>
        <v>12077</v>
      </c>
      <c r="D168" s="122">
        <f>'Balance Sheet'!D77</f>
        <v>15660</v>
      </c>
      <c r="E168" s="122">
        <f>'Balance Sheet'!E77</f>
        <v>12236</v>
      </c>
      <c r="F168" s="122">
        <f>'Balance Sheet'!F77</f>
        <v>11671</v>
      </c>
      <c r="G168" s="122">
        <f>'Balance Sheet'!G77</f>
        <v>11666</v>
      </c>
      <c r="H168" s="122">
        <f>SUM(H163:H167)</f>
        <v>18856</v>
      </c>
      <c r="I168" s="122">
        <f>SUM(I163:I167)</f>
        <v>19680.349229759999</v>
      </c>
      <c r="J168" s="122">
        <f>SUM(J163:J167)</f>
        <v>19708.987286964126</v>
      </c>
      <c r="K168" s="122">
        <f>SUM(K163:K167)</f>
        <v>19756.817208469256</v>
      </c>
    </row>
    <row r="169" spans="1:11" x14ac:dyDescent="0.2">
      <c r="B169" s="122"/>
      <c r="C169" s="122"/>
      <c r="D169" s="122"/>
      <c r="E169" s="122"/>
      <c r="F169" s="122"/>
      <c r="G169" s="122"/>
      <c r="H169" s="122"/>
      <c r="I169" s="122"/>
      <c r="J169" s="122"/>
      <c r="K169" s="122"/>
    </row>
    <row r="170" spans="1:11" x14ac:dyDescent="0.2">
      <c r="A170" s="73" t="str">
        <f>'Balance Sheet'!A79</f>
        <v>Minority Interest</v>
      </c>
      <c r="B170" s="122">
        <f>'Balance Sheet'!B79</f>
        <v>-22</v>
      </c>
      <c r="C170" s="122">
        <f>'Balance Sheet'!C79</f>
        <v>-18</v>
      </c>
      <c r="D170" s="122">
        <f>'Balance Sheet'!D79</f>
        <v>-16</v>
      </c>
      <c r="E170" s="122">
        <f>'Balance Sheet'!E79</f>
        <v>-11</v>
      </c>
      <c r="F170" s="122">
        <f>'Balance Sheet'!F79</f>
        <v>-6</v>
      </c>
      <c r="G170" s="122">
        <f>'Balance Sheet'!G79</f>
        <v>-4</v>
      </c>
      <c r="H170" s="122">
        <v>0</v>
      </c>
      <c r="I170" s="122">
        <v>0</v>
      </c>
      <c r="J170" s="122">
        <v>0</v>
      </c>
      <c r="K170" s="122">
        <v>0</v>
      </c>
    </row>
    <row r="171" spans="1:11" x14ac:dyDescent="0.2">
      <c r="B171" s="122"/>
      <c r="C171" s="122"/>
      <c r="D171" s="122"/>
      <c r="E171" s="122"/>
      <c r="F171" s="122"/>
      <c r="G171" s="122"/>
      <c r="H171" s="122"/>
      <c r="I171" s="122"/>
      <c r="J171" s="122"/>
      <c r="K171" s="122"/>
    </row>
    <row r="172" spans="1:11" x14ac:dyDescent="0.2">
      <c r="A172" s="73" t="str">
        <f>'Balance Sheet'!A81</f>
        <v>Total Equity</v>
      </c>
      <c r="B172" s="122">
        <f>'Balance Sheet'!B81</f>
        <v>13369</v>
      </c>
      <c r="C172" s="122">
        <f>'Balance Sheet'!C81</f>
        <v>12059</v>
      </c>
      <c r="D172" s="122">
        <f>'Balance Sheet'!D81</f>
        <v>15644</v>
      </c>
      <c r="E172" s="122">
        <f>'Balance Sheet'!E81</f>
        <v>12225</v>
      </c>
      <c r="F172" s="122">
        <f>'Balance Sheet'!F81</f>
        <v>11665</v>
      </c>
      <c r="G172" s="122">
        <f>'Balance Sheet'!G81</f>
        <v>11662</v>
      </c>
      <c r="H172" s="122">
        <f>H168+H170</f>
        <v>18856</v>
      </c>
      <c r="I172" s="122">
        <f t="shared" ref="I172:K172" si="47">I168+I170</f>
        <v>19680.349229759999</v>
      </c>
      <c r="J172" s="122">
        <f t="shared" si="47"/>
        <v>19708.987286964126</v>
      </c>
      <c r="K172" s="122">
        <f t="shared" si="47"/>
        <v>19756.817208469256</v>
      </c>
    </row>
    <row r="173" spans="1:11" x14ac:dyDescent="0.2">
      <c r="B173" s="122"/>
      <c r="C173" s="122"/>
      <c r="D173" s="122"/>
      <c r="E173" s="122"/>
      <c r="F173" s="122"/>
      <c r="G173" s="122"/>
      <c r="H173" s="122"/>
      <c r="I173" s="122"/>
      <c r="J173" s="122"/>
      <c r="K173" s="122"/>
    </row>
    <row r="174" spans="1:11" x14ac:dyDescent="0.2">
      <c r="A174" s="73" t="str">
        <f>'Balance Sheet'!A83</f>
        <v>Total Liabilities And Equity</v>
      </c>
      <c r="B174" s="122">
        <f>'Balance Sheet'!B83</f>
        <v>53147</v>
      </c>
      <c r="C174" s="122">
        <f>'Balance Sheet'!C83</f>
        <v>45512</v>
      </c>
      <c r="D174" s="122">
        <f>'Balance Sheet'!D83</f>
        <v>49351</v>
      </c>
      <c r="E174" s="122">
        <f>'Balance Sheet'!E83</f>
        <v>45868</v>
      </c>
      <c r="F174" s="122">
        <f>'Balance Sheet'!F83</f>
        <v>47039</v>
      </c>
      <c r="G174" s="122">
        <f>'Balance Sheet'!G83</f>
        <v>38890</v>
      </c>
      <c r="H174" s="122">
        <f>H172+H161</f>
        <v>85731</v>
      </c>
      <c r="I174" s="122">
        <f>I172+I161</f>
        <v>88254.751099411369</v>
      </c>
      <c r="J174" s="122">
        <f>SUM(J172+J161)</f>
        <v>88896.589651593778</v>
      </c>
      <c r="K174" s="122">
        <f>K172+K161</f>
        <v>89588.750333222095</v>
      </c>
    </row>
    <row r="176" spans="1:11" x14ac:dyDescent="0.2">
      <c r="A176" s="188" t="s">
        <v>831</v>
      </c>
      <c r="B176" s="88"/>
      <c r="C176" s="88"/>
      <c r="D176" s="88"/>
      <c r="E176" s="88"/>
      <c r="F176" s="88"/>
      <c r="G176" s="88"/>
      <c r="H176" s="88"/>
      <c r="I176" s="88"/>
      <c r="J176" s="88"/>
      <c r="K176" s="88"/>
    </row>
    <row r="177" spans="1:11" x14ac:dyDescent="0.2">
      <c r="A177" s="189" t="s">
        <v>217</v>
      </c>
      <c r="B177" s="89">
        <f>B137</f>
        <v>53147</v>
      </c>
      <c r="C177" s="89">
        <f t="shared" ref="C177:K177" si="48">C137</f>
        <v>45512</v>
      </c>
      <c r="D177" s="89">
        <f t="shared" si="48"/>
        <v>49351</v>
      </c>
      <c r="E177" s="89">
        <f t="shared" si="48"/>
        <v>45868</v>
      </c>
      <c r="F177" s="89">
        <f t="shared" si="48"/>
        <v>47039</v>
      </c>
      <c r="G177" s="89">
        <f t="shared" si="48"/>
        <v>38890</v>
      </c>
      <c r="H177" s="89">
        <f t="shared" si="48"/>
        <v>85731</v>
      </c>
      <c r="I177" s="89">
        <f t="shared" si="48"/>
        <v>88254.538228774356</v>
      </c>
      <c r="J177" s="89">
        <f t="shared" si="48"/>
        <v>88896.744370796107</v>
      </c>
      <c r="K177" s="89">
        <f t="shared" si="48"/>
        <v>89588.70230483255</v>
      </c>
    </row>
    <row r="178" spans="1:11" x14ac:dyDescent="0.2">
      <c r="A178" s="189" t="s">
        <v>832</v>
      </c>
      <c r="B178" s="89">
        <f>B174</f>
        <v>53147</v>
      </c>
      <c r="C178" s="89">
        <f t="shared" ref="C178:K178" si="49">C174</f>
        <v>45512</v>
      </c>
      <c r="D178" s="89">
        <f t="shared" si="49"/>
        <v>49351</v>
      </c>
      <c r="E178" s="89">
        <f t="shared" si="49"/>
        <v>45868</v>
      </c>
      <c r="F178" s="89">
        <f t="shared" si="49"/>
        <v>47039</v>
      </c>
      <c r="G178" s="89">
        <f t="shared" si="49"/>
        <v>38890</v>
      </c>
      <c r="H178" s="89">
        <f t="shared" si="49"/>
        <v>85731</v>
      </c>
      <c r="I178" s="89">
        <f t="shared" si="49"/>
        <v>88254.751099411369</v>
      </c>
      <c r="J178" s="89">
        <f t="shared" si="49"/>
        <v>88896.589651593778</v>
      </c>
      <c r="K178" s="89">
        <f t="shared" si="49"/>
        <v>89588.750333222095</v>
      </c>
    </row>
    <row r="179" spans="1:11" x14ac:dyDescent="0.2">
      <c r="A179" s="189" t="s">
        <v>834</v>
      </c>
      <c r="B179" s="89">
        <f>B177-B178</f>
        <v>0</v>
      </c>
      <c r="C179" s="89">
        <f t="shared" ref="C179:H179" si="50">C177-C178</f>
        <v>0</v>
      </c>
      <c r="D179" s="89">
        <f t="shared" si="50"/>
        <v>0</v>
      </c>
      <c r="E179" s="89">
        <f t="shared" si="50"/>
        <v>0</v>
      </c>
      <c r="F179" s="89">
        <f t="shared" si="50"/>
        <v>0</v>
      </c>
      <c r="G179" s="89">
        <f t="shared" si="50"/>
        <v>0</v>
      </c>
      <c r="H179" s="89">
        <f t="shared" si="50"/>
        <v>0</v>
      </c>
      <c r="I179" s="89">
        <f>I177-I178</f>
        <v>-0.21287063701311126</v>
      </c>
      <c r="J179" s="89">
        <f t="shared" ref="J179:K179" si="51">J177-J178</f>
        <v>0.15471920232812408</v>
      </c>
      <c r="K179" s="89">
        <f t="shared" si="51"/>
        <v>-4.8028389544924721E-2</v>
      </c>
    </row>
    <row r="182" spans="1:11" ht="17" thickBot="1" x14ac:dyDescent="0.25">
      <c r="A182" s="174" t="s">
        <v>835</v>
      </c>
      <c r="B182" s="181"/>
      <c r="C182" s="181"/>
      <c r="D182" s="181"/>
      <c r="E182" s="181"/>
      <c r="F182" s="181"/>
      <c r="G182" s="181"/>
      <c r="H182" s="181"/>
      <c r="I182" s="181"/>
      <c r="J182" s="181"/>
      <c r="K182" s="181"/>
    </row>
    <row r="183" spans="1:11" ht="17" thickBot="1" x14ac:dyDescent="0.25">
      <c r="B183" s="257" t="s">
        <v>6</v>
      </c>
      <c r="C183" s="258"/>
      <c r="D183" s="258"/>
      <c r="E183" s="258"/>
      <c r="F183" s="258"/>
      <c r="G183" s="259"/>
    </row>
    <row r="184" spans="1:11" x14ac:dyDescent="0.2">
      <c r="A184" s="73" t="str">
        <f>'Cash Flow'!A15</f>
        <v xml:space="preserve">For the Fiscal Period Ending
</v>
      </c>
      <c r="B184" s="91">
        <v>2020</v>
      </c>
      <c r="C184" s="91">
        <v>2021</v>
      </c>
      <c r="D184" s="91">
        <v>2022</v>
      </c>
      <c r="E184" s="91">
        <v>2023</v>
      </c>
      <c r="F184" s="91">
        <v>2024</v>
      </c>
      <c r="G184" s="91">
        <v>2025</v>
      </c>
      <c r="H184" s="91"/>
      <c r="I184" s="91"/>
      <c r="J184" s="91"/>
      <c r="K184" s="91"/>
    </row>
    <row r="185" spans="1:11" x14ac:dyDescent="0.2">
      <c r="A185" s="73" t="str">
        <f>'Balance Sheet'!A16</f>
        <v>Currency</v>
      </c>
      <c r="B185" s="120" t="str">
        <f>'Balance Sheet'!B16</f>
        <v>GBP</v>
      </c>
      <c r="C185" s="120" t="str">
        <f>'Balance Sheet'!C16</f>
        <v>GBP</v>
      </c>
      <c r="D185" s="120" t="str">
        <f>'Balance Sheet'!D16</f>
        <v>GBP</v>
      </c>
      <c r="E185" s="120" t="str">
        <f>'Balance Sheet'!E16</f>
        <v>GBP</v>
      </c>
      <c r="F185" s="120" t="str">
        <f>'Balance Sheet'!F16</f>
        <v>GBP</v>
      </c>
      <c r="G185" s="120" t="str">
        <f>'Balance Sheet'!G16</f>
        <v>GBP</v>
      </c>
      <c r="I185" s="120"/>
      <c r="J185" s="120"/>
      <c r="K185" s="120"/>
    </row>
    <row r="186" spans="1:11" x14ac:dyDescent="0.2">
      <c r="A186" s="14" t="s">
        <v>33</v>
      </c>
      <c r="B186" s="191">
        <v>971</v>
      </c>
      <c r="C186" s="191">
        <v>5954</v>
      </c>
      <c r="D186" s="191">
        <v>1481</v>
      </c>
      <c r="E186" s="191">
        <v>737</v>
      </c>
      <c r="F186" s="191">
        <v>1188</v>
      </c>
      <c r="G186" s="191">
        <v>1626</v>
      </c>
      <c r="I186" s="75"/>
      <c r="J186" s="75"/>
      <c r="K186" s="75"/>
    </row>
    <row r="187" spans="1:11" x14ac:dyDescent="0.2">
      <c r="A187" s="5" t="s">
        <v>104</v>
      </c>
      <c r="B187" s="193">
        <v>1450</v>
      </c>
      <c r="C187" s="193">
        <v>1466</v>
      </c>
      <c r="D187" s="193">
        <v>1431</v>
      </c>
      <c r="E187" s="193">
        <v>1418</v>
      </c>
      <c r="F187" s="193">
        <v>1439</v>
      </c>
      <c r="G187" s="193">
        <v>1488</v>
      </c>
      <c r="I187" s="75"/>
      <c r="J187" s="75"/>
      <c r="K187" s="75"/>
    </row>
    <row r="188" spans="1:11" x14ac:dyDescent="0.2">
      <c r="A188" s="5" t="s">
        <v>105</v>
      </c>
      <c r="B188" s="193">
        <v>359</v>
      </c>
      <c r="C188" s="193">
        <v>80</v>
      </c>
      <c r="D188" s="193">
        <v>78</v>
      </c>
      <c r="E188" s="193">
        <v>247</v>
      </c>
      <c r="F188" s="193">
        <v>255</v>
      </c>
      <c r="G188" s="193">
        <v>287</v>
      </c>
      <c r="I188" s="75"/>
      <c r="J188" s="75"/>
      <c r="K188" s="75"/>
    </row>
    <row r="189" spans="1:11" x14ac:dyDescent="0.2">
      <c r="A189" s="14" t="s">
        <v>277</v>
      </c>
      <c r="B189" s="191">
        <v>1809</v>
      </c>
      <c r="C189" s="191">
        <v>1546</v>
      </c>
      <c r="D189" s="191">
        <v>1509</v>
      </c>
      <c r="E189" s="191">
        <v>1665</v>
      </c>
      <c r="F189" s="191">
        <v>1694</v>
      </c>
      <c r="G189" s="191">
        <v>1775</v>
      </c>
      <c r="I189" s="75"/>
      <c r="J189" s="75"/>
      <c r="K189" s="75"/>
    </row>
    <row r="190" spans="1:11" x14ac:dyDescent="0.2">
      <c r="A190" s="5"/>
      <c r="B190" s="192"/>
      <c r="C190" s="192"/>
      <c r="D190" s="192"/>
      <c r="E190" s="192"/>
      <c r="F190" s="192"/>
      <c r="G190" s="192"/>
    </row>
    <row r="191" spans="1:11" x14ac:dyDescent="0.2">
      <c r="A191" s="5" t="s">
        <v>278</v>
      </c>
      <c r="B191" s="193">
        <v>0</v>
      </c>
      <c r="C191" s="193">
        <v>198</v>
      </c>
      <c r="D191" s="193">
        <v>209</v>
      </c>
      <c r="E191" s="193">
        <v>0</v>
      </c>
      <c r="F191" s="193">
        <v>0</v>
      </c>
      <c r="G191" s="193">
        <v>0</v>
      </c>
    </row>
    <row r="192" spans="1:11" x14ac:dyDescent="0.2">
      <c r="A192" s="5" t="s">
        <v>279</v>
      </c>
      <c r="B192" s="193">
        <v>-170</v>
      </c>
      <c r="C192" s="193">
        <v>-28</v>
      </c>
      <c r="D192" s="193">
        <v>-120</v>
      </c>
      <c r="E192" s="193">
        <v>-53</v>
      </c>
      <c r="F192" s="193">
        <v>655</v>
      </c>
      <c r="G192" s="193">
        <v>65</v>
      </c>
    </row>
    <row r="193" spans="1:11" x14ac:dyDescent="0.2">
      <c r="A193" s="5" t="s">
        <v>280</v>
      </c>
      <c r="B193" s="193">
        <v>-24</v>
      </c>
      <c r="C193" s="193">
        <v>0</v>
      </c>
      <c r="D193" s="193">
        <v>-25</v>
      </c>
      <c r="E193" s="193">
        <v>3</v>
      </c>
      <c r="F193" s="193">
        <v>-9</v>
      </c>
      <c r="G193" s="193">
        <v>10</v>
      </c>
    </row>
    <row r="194" spans="1:11" x14ac:dyDescent="0.2">
      <c r="A194" s="5" t="s">
        <v>281</v>
      </c>
      <c r="B194" s="193">
        <v>302</v>
      </c>
      <c r="C194" s="193">
        <v>206</v>
      </c>
      <c r="D194" s="193">
        <v>115</v>
      </c>
      <c r="E194" s="193">
        <v>982</v>
      </c>
      <c r="F194" s="193">
        <v>43</v>
      </c>
      <c r="G194" s="193">
        <v>307</v>
      </c>
    </row>
    <row r="195" spans="1:11" x14ac:dyDescent="0.2">
      <c r="A195" s="5" t="s">
        <v>282</v>
      </c>
      <c r="B195" s="193">
        <v>0</v>
      </c>
      <c r="C195" s="193">
        <v>0</v>
      </c>
      <c r="D195" s="193">
        <v>0</v>
      </c>
      <c r="E195" s="193">
        <v>0</v>
      </c>
      <c r="F195" s="193">
        <v>0</v>
      </c>
      <c r="G195" s="193">
        <v>0</v>
      </c>
    </row>
    <row r="196" spans="1:11" x14ac:dyDescent="0.2">
      <c r="A196" s="5" t="s">
        <v>283</v>
      </c>
      <c r="B196" s="193">
        <v>0</v>
      </c>
      <c r="C196" s="193">
        <v>0</v>
      </c>
      <c r="D196" s="193">
        <v>0</v>
      </c>
      <c r="E196" s="193">
        <v>0</v>
      </c>
      <c r="F196" s="193">
        <v>0</v>
      </c>
      <c r="G196" s="193">
        <v>0</v>
      </c>
    </row>
    <row r="197" spans="1:11" x14ac:dyDescent="0.2">
      <c r="A197" s="5" t="s">
        <v>284</v>
      </c>
      <c r="B197" s="193">
        <v>87</v>
      </c>
      <c r="C197" s="193">
        <v>30</v>
      </c>
      <c r="D197" s="193">
        <v>66</v>
      </c>
      <c r="E197" s="193">
        <v>59</v>
      </c>
      <c r="F197" s="193">
        <v>78</v>
      </c>
      <c r="G197" s="193">
        <v>37</v>
      </c>
    </row>
    <row r="198" spans="1:11" x14ac:dyDescent="0.2">
      <c r="A198" s="5" t="s">
        <v>285</v>
      </c>
      <c r="B198" s="193">
        <v>660</v>
      </c>
      <c r="C198" s="193">
        <v>305</v>
      </c>
      <c r="D198" s="193">
        <v>-28</v>
      </c>
      <c r="E198" s="193">
        <v>133</v>
      </c>
      <c r="F198" s="193">
        <v>-630</v>
      </c>
      <c r="G198" s="193">
        <v>35</v>
      </c>
    </row>
    <row r="199" spans="1:11" x14ac:dyDescent="0.2">
      <c r="A199" s="5" t="s">
        <v>286</v>
      </c>
      <c r="B199" s="193">
        <v>-44</v>
      </c>
      <c r="C199" s="193">
        <v>-7855</v>
      </c>
      <c r="D199" s="193">
        <v>188</v>
      </c>
      <c r="E199" s="193">
        <v>-55</v>
      </c>
      <c r="F199" s="193">
        <v>557</v>
      </c>
      <c r="G199" s="193">
        <v>-80</v>
      </c>
    </row>
    <row r="200" spans="1:11" x14ac:dyDescent="0.2">
      <c r="A200" s="5" t="s">
        <v>287</v>
      </c>
      <c r="B200" s="193">
        <v>485</v>
      </c>
      <c r="C200" s="193">
        <v>125</v>
      </c>
      <c r="D200" s="193">
        <v>35</v>
      </c>
      <c r="E200" s="193">
        <v>29</v>
      </c>
      <c r="F200" s="193">
        <v>-129</v>
      </c>
      <c r="G200" s="193">
        <v>-5</v>
      </c>
      <c r="I200" s="75"/>
      <c r="J200" s="75"/>
      <c r="K200" s="75"/>
    </row>
    <row r="201" spans="1:11" x14ac:dyDescent="0.2">
      <c r="A201" s="5" t="s">
        <v>288</v>
      </c>
      <c r="B201" s="193">
        <v>179</v>
      </c>
      <c r="C201" s="193">
        <v>-50</v>
      </c>
      <c r="D201" s="193">
        <v>-281</v>
      </c>
      <c r="E201" s="193">
        <v>-147</v>
      </c>
      <c r="F201" s="193">
        <v>-150</v>
      </c>
      <c r="G201" s="193">
        <v>-141</v>
      </c>
    </row>
    <row r="202" spans="1:11" x14ac:dyDescent="0.2">
      <c r="A202" s="5" t="s">
        <v>289</v>
      </c>
      <c r="B202" s="193">
        <v>-4252</v>
      </c>
      <c r="C202" s="193">
        <v>-1573</v>
      </c>
      <c r="D202" s="193">
        <v>790</v>
      </c>
      <c r="E202" s="193">
        <v>991</v>
      </c>
      <c r="F202" s="193">
        <v>698</v>
      </c>
      <c r="G202" s="193">
        <v>158</v>
      </c>
    </row>
    <row r="203" spans="1:11" x14ac:dyDescent="0.2">
      <c r="A203" s="5" t="s">
        <v>290</v>
      </c>
      <c r="B203" s="193">
        <v>0</v>
      </c>
      <c r="C203" s="193">
        <v>0</v>
      </c>
      <c r="D203" s="193">
        <v>0</v>
      </c>
      <c r="E203" s="193">
        <v>0</v>
      </c>
      <c r="F203" s="193">
        <v>0</v>
      </c>
      <c r="G203" s="193">
        <v>0</v>
      </c>
    </row>
    <row r="204" spans="1:11" x14ac:dyDescent="0.2">
      <c r="A204" s="5" t="s">
        <v>291</v>
      </c>
      <c r="B204" s="193">
        <v>45</v>
      </c>
      <c r="C204" s="193">
        <v>1744</v>
      </c>
      <c r="D204" s="193">
        <v>-182</v>
      </c>
      <c r="E204" s="193">
        <v>-622</v>
      </c>
      <c r="F204" s="193">
        <v>-156</v>
      </c>
      <c r="G204" s="193">
        <v>-865</v>
      </c>
    </row>
    <row r="205" spans="1:11" x14ac:dyDescent="0.2">
      <c r="A205" s="14" t="s">
        <v>292</v>
      </c>
      <c r="B205" s="191">
        <v>48</v>
      </c>
      <c r="C205" s="191">
        <v>602</v>
      </c>
      <c r="D205" s="191">
        <v>3757</v>
      </c>
      <c r="E205" s="191">
        <v>3722</v>
      </c>
      <c r="F205" s="191">
        <v>3839</v>
      </c>
      <c r="G205" s="191">
        <v>2922</v>
      </c>
    </row>
    <row r="206" spans="1:11" x14ac:dyDescent="0.2">
      <c r="A206" s="5"/>
      <c r="B206" s="192"/>
      <c r="C206" s="192"/>
      <c r="D206" s="192"/>
      <c r="E206" s="192"/>
      <c r="F206" s="192"/>
      <c r="G206" s="192"/>
    </row>
    <row r="207" spans="1:11" x14ac:dyDescent="0.2">
      <c r="A207" s="5" t="s">
        <v>293</v>
      </c>
      <c r="B207" s="193">
        <v>-1003</v>
      </c>
      <c r="C207" s="193">
        <v>-1171</v>
      </c>
      <c r="D207" s="193">
        <v>-949</v>
      </c>
      <c r="E207" s="193">
        <v>-971</v>
      </c>
      <c r="F207" s="193">
        <v>-1108</v>
      </c>
      <c r="G207" s="193">
        <v>-1247</v>
      </c>
    </row>
    <row r="208" spans="1:11" x14ac:dyDescent="0.2">
      <c r="A208" s="5" t="s">
        <v>294</v>
      </c>
      <c r="B208" s="193">
        <v>3965</v>
      </c>
      <c r="C208" s="193">
        <v>237</v>
      </c>
      <c r="D208" s="193">
        <v>309</v>
      </c>
      <c r="E208" s="193">
        <v>342</v>
      </c>
      <c r="F208" s="193">
        <v>55</v>
      </c>
      <c r="G208" s="193">
        <v>137</v>
      </c>
    </row>
    <row r="209" spans="1:7" x14ac:dyDescent="0.2">
      <c r="A209" s="5" t="s">
        <v>295</v>
      </c>
      <c r="B209" s="193">
        <v>0</v>
      </c>
      <c r="C209" s="193">
        <v>15</v>
      </c>
      <c r="D209" s="193">
        <v>-48</v>
      </c>
      <c r="E209" s="193">
        <v>-71</v>
      </c>
      <c r="F209" s="193">
        <v>-17</v>
      </c>
      <c r="G209" s="193">
        <v>-46</v>
      </c>
    </row>
    <row r="210" spans="1:7" x14ac:dyDescent="0.2">
      <c r="A210" s="5" t="s">
        <v>296</v>
      </c>
      <c r="B210" s="193">
        <v>-6</v>
      </c>
      <c r="C210" s="193">
        <v>7806</v>
      </c>
      <c r="D210" s="193">
        <v>117</v>
      </c>
      <c r="E210" s="193">
        <v>0</v>
      </c>
      <c r="F210" s="193">
        <v>15</v>
      </c>
      <c r="G210" s="193">
        <v>0</v>
      </c>
    </row>
    <row r="211" spans="1:7" x14ac:dyDescent="0.2">
      <c r="A211" s="5" t="s">
        <v>297</v>
      </c>
      <c r="B211" s="193">
        <v>-201</v>
      </c>
      <c r="C211" s="193">
        <v>-206</v>
      </c>
      <c r="D211" s="193">
        <v>-229</v>
      </c>
      <c r="E211" s="193">
        <v>-279</v>
      </c>
      <c r="F211" s="193">
        <v>-278</v>
      </c>
      <c r="G211" s="193">
        <v>-292</v>
      </c>
    </row>
    <row r="212" spans="1:7" x14ac:dyDescent="0.2">
      <c r="A212" s="5" t="s">
        <v>298</v>
      </c>
      <c r="B212" s="193">
        <v>-425</v>
      </c>
      <c r="C212" s="193">
        <v>167</v>
      </c>
      <c r="D212" s="193">
        <v>-1010</v>
      </c>
      <c r="E212" s="193">
        <v>142</v>
      </c>
      <c r="F212" s="193">
        <v>-545</v>
      </c>
      <c r="G212" s="193">
        <v>566</v>
      </c>
    </row>
    <row r="213" spans="1:7" x14ac:dyDescent="0.2">
      <c r="A213" s="5" t="s">
        <v>299</v>
      </c>
      <c r="B213" s="193">
        <v>0</v>
      </c>
      <c r="C213" s="193">
        <v>0</v>
      </c>
      <c r="D213" s="193">
        <v>0</v>
      </c>
      <c r="E213" s="193">
        <v>0</v>
      </c>
      <c r="F213" s="193">
        <v>0</v>
      </c>
      <c r="G213" s="193">
        <v>0</v>
      </c>
    </row>
    <row r="214" spans="1:7" x14ac:dyDescent="0.2">
      <c r="A214" s="5" t="s">
        <v>300</v>
      </c>
      <c r="B214" s="193">
        <v>68</v>
      </c>
      <c r="C214" s="193">
        <v>-677</v>
      </c>
      <c r="D214" s="193">
        <v>75</v>
      </c>
      <c r="E214" s="193">
        <v>131</v>
      </c>
      <c r="F214" s="193">
        <v>178</v>
      </c>
      <c r="G214" s="193">
        <v>441</v>
      </c>
    </row>
    <row r="215" spans="1:7" x14ac:dyDescent="0.2">
      <c r="A215" s="14" t="s">
        <v>301</v>
      </c>
      <c r="B215" s="191">
        <v>2398</v>
      </c>
      <c r="C215" s="191">
        <v>6171</v>
      </c>
      <c r="D215" s="191">
        <v>-1735</v>
      </c>
      <c r="E215" s="191">
        <v>-706</v>
      </c>
      <c r="F215" s="191">
        <v>-1700</v>
      </c>
      <c r="G215" s="191">
        <v>-441</v>
      </c>
    </row>
    <row r="216" spans="1:7" x14ac:dyDescent="0.2">
      <c r="A216" s="5"/>
      <c r="B216" s="192"/>
      <c r="C216" s="192"/>
      <c r="D216" s="192"/>
      <c r="E216" s="192"/>
      <c r="F216" s="192"/>
      <c r="G216" s="192"/>
    </row>
    <row r="217" spans="1:7" x14ac:dyDescent="0.2">
      <c r="A217" s="5" t="s">
        <v>302</v>
      </c>
      <c r="B217" s="193">
        <v>0</v>
      </c>
      <c r="C217" s="193">
        <v>0</v>
      </c>
      <c r="D217" s="193">
        <v>0</v>
      </c>
      <c r="E217" s="193">
        <v>0</v>
      </c>
      <c r="F217" s="193">
        <v>0</v>
      </c>
      <c r="G217" s="193">
        <v>0</v>
      </c>
    </row>
    <row r="218" spans="1:7" x14ac:dyDescent="0.2">
      <c r="A218" s="5" t="s">
        <v>303</v>
      </c>
      <c r="B218" s="193">
        <v>1272</v>
      </c>
      <c r="C218" s="193">
        <v>1098</v>
      </c>
      <c r="D218" s="193">
        <v>394</v>
      </c>
      <c r="E218" s="193">
        <v>0</v>
      </c>
      <c r="F218" s="193">
        <v>1232</v>
      </c>
      <c r="G218" s="193">
        <v>462</v>
      </c>
    </row>
    <row r="219" spans="1:7" x14ac:dyDescent="0.2">
      <c r="A219" s="14" t="s">
        <v>304</v>
      </c>
      <c r="B219" s="191">
        <v>1272</v>
      </c>
      <c r="C219" s="191">
        <v>1098</v>
      </c>
      <c r="D219" s="191">
        <v>394</v>
      </c>
      <c r="E219" s="191">
        <v>0</v>
      </c>
      <c r="F219" s="191">
        <v>1232</v>
      </c>
      <c r="G219" s="191">
        <v>462</v>
      </c>
    </row>
    <row r="220" spans="1:7" x14ac:dyDescent="0.2">
      <c r="A220" s="5" t="s">
        <v>305</v>
      </c>
      <c r="B220" s="193">
        <v>0</v>
      </c>
      <c r="C220" s="193">
        <v>0</v>
      </c>
      <c r="D220" s="193">
        <v>0</v>
      </c>
      <c r="E220" s="193">
        <v>0</v>
      </c>
      <c r="F220" s="193">
        <v>0</v>
      </c>
      <c r="G220" s="193">
        <v>0</v>
      </c>
    </row>
    <row r="221" spans="1:7" x14ac:dyDescent="0.2">
      <c r="A221" s="5" t="s">
        <v>306</v>
      </c>
      <c r="B221" s="193">
        <v>-2390</v>
      </c>
      <c r="C221" s="193">
        <v>-2435</v>
      </c>
      <c r="D221" s="193">
        <v>-1352</v>
      </c>
      <c r="E221" s="193">
        <v>-1302</v>
      </c>
      <c r="F221" s="193">
        <v>-1402</v>
      </c>
      <c r="G221" s="193">
        <v>-1411</v>
      </c>
    </row>
    <row r="222" spans="1:7" x14ac:dyDescent="0.2">
      <c r="A222" s="14" t="s">
        <v>307</v>
      </c>
      <c r="B222" s="191">
        <v>-2390</v>
      </c>
      <c r="C222" s="191">
        <v>-2435</v>
      </c>
      <c r="D222" s="191">
        <v>-1352</v>
      </c>
      <c r="E222" s="191">
        <v>-1302</v>
      </c>
      <c r="F222" s="191">
        <v>-1402</v>
      </c>
      <c r="G222" s="191">
        <v>-1411</v>
      </c>
    </row>
    <row r="223" spans="1:7" x14ac:dyDescent="0.2">
      <c r="A223" s="5"/>
      <c r="B223" s="192"/>
      <c r="C223" s="192"/>
      <c r="D223" s="192"/>
      <c r="E223" s="192"/>
      <c r="F223" s="192"/>
      <c r="G223" s="192"/>
    </row>
    <row r="224" spans="1:7" x14ac:dyDescent="0.2">
      <c r="A224" s="5" t="s">
        <v>308</v>
      </c>
      <c r="B224" s="193">
        <v>0</v>
      </c>
      <c r="C224" s="193">
        <v>0</v>
      </c>
      <c r="D224" s="193">
        <v>0</v>
      </c>
      <c r="E224" s="193">
        <v>0</v>
      </c>
      <c r="F224" s="193">
        <v>0</v>
      </c>
      <c r="G224" s="193">
        <v>0</v>
      </c>
    </row>
    <row r="225" spans="1:7" x14ac:dyDescent="0.2">
      <c r="A225" s="5" t="s">
        <v>309</v>
      </c>
      <c r="B225" s="193">
        <v>-149</v>
      </c>
      <c r="C225" s="193">
        <v>-66</v>
      </c>
      <c r="D225" s="193">
        <v>-422</v>
      </c>
      <c r="E225" s="193">
        <v>-867</v>
      </c>
      <c r="F225" s="193">
        <v>-845</v>
      </c>
      <c r="G225" s="193">
        <v>-1070</v>
      </c>
    </row>
    <row r="226" spans="1:7" x14ac:dyDescent="0.2">
      <c r="A226" s="5"/>
      <c r="B226" s="192"/>
      <c r="C226" s="192"/>
      <c r="D226" s="192"/>
      <c r="E226" s="192"/>
      <c r="F226" s="192"/>
      <c r="G226" s="192"/>
    </row>
    <row r="227" spans="1:7" x14ac:dyDescent="0.2">
      <c r="A227" s="5" t="s">
        <v>310</v>
      </c>
      <c r="B227" s="193">
        <v>-656</v>
      </c>
      <c r="C227" s="193">
        <v>-910</v>
      </c>
      <c r="D227" s="193">
        <v>-704</v>
      </c>
      <c r="E227" s="193">
        <v>-858</v>
      </c>
      <c r="F227" s="193">
        <v>-777</v>
      </c>
      <c r="G227" s="193">
        <v>-864</v>
      </c>
    </row>
    <row r="228" spans="1:7" x14ac:dyDescent="0.2">
      <c r="A228" s="14" t="s">
        <v>311</v>
      </c>
      <c r="B228" s="191">
        <v>-656</v>
      </c>
      <c r="C228" s="191">
        <v>-910</v>
      </c>
      <c r="D228" s="191">
        <v>-704</v>
      </c>
      <c r="E228" s="191">
        <v>-858</v>
      </c>
      <c r="F228" s="191">
        <v>-777</v>
      </c>
      <c r="G228" s="191">
        <v>-864</v>
      </c>
    </row>
    <row r="229" spans="1:7" x14ac:dyDescent="0.2">
      <c r="A229" s="5"/>
      <c r="B229" s="192"/>
      <c r="C229" s="192"/>
      <c r="D229" s="192"/>
      <c r="E229" s="192"/>
      <c r="F229" s="192"/>
      <c r="G229" s="192"/>
    </row>
    <row r="230" spans="1:7" x14ac:dyDescent="0.2">
      <c r="A230" s="5" t="s">
        <v>312</v>
      </c>
      <c r="B230" s="193">
        <v>0</v>
      </c>
      <c r="C230" s="193">
        <v>-4948</v>
      </c>
      <c r="D230" s="193">
        <v>-27</v>
      </c>
      <c r="E230" s="193">
        <v>-1</v>
      </c>
      <c r="F230" s="193">
        <v>-1</v>
      </c>
      <c r="G230" s="193">
        <v>0</v>
      </c>
    </row>
    <row r="231" spans="1:7" x14ac:dyDescent="0.2">
      <c r="A231" s="5" t="s">
        <v>313</v>
      </c>
      <c r="B231" s="193">
        <v>-17</v>
      </c>
      <c r="C231" s="193">
        <v>-580</v>
      </c>
      <c r="D231" s="193">
        <v>-123</v>
      </c>
      <c r="E231" s="193">
        <v>-160</v>
      </c>
      <c r="F231" s="193">
        <v>-66</v>
      </c>
      <c r="G231" s="193">
        <v>-60</v>
      </c>
    </row>
    <row r="232" spans="1:7" x14ac:dyDescent="0.2">
      <c r="A232" s="14" t="s">
        <v>314</v>
      </c>
      <c r="B232" s="191">
        <v>-1940</v>
      </c>
      <c r="C232" s="191">
        <v>-7841</v>
      </c>
      <c r="D232" s="191">
        <v>-2234</v>
      </c>
      <c r="E232" s="191">
        <v>-3188</v>
      </c>
      <c r="F232" s="191">
        <v>-1859</v>
      </c>
      <c r="G232" s="191">
        <v>-2943</v>
      </c>
    </row>
    <row r="233" spans="1:7" x14ac:dyDescent="0.2">
      <c r="A233" s="5"/>
      <c r="B233" s="192"/>
      <c r="C233" s="192"/>
      <c r="D233" s="192"/>
      <c r="E233" s="192"/>
      <c r="F233" s="192"/>
      <c r="G233" s="192"/>
    </row>
    <row r="234" spans="1:7" x14ac:dyDescent="0.2">
      <c r="A234" s="5" t="s">
        <v>315</v>
      </c>
      <c r="B234" s="193">
        <v>-42</v>
      </c>
      <c r="C234" s="193">
        <v>8</v>
      </c>
      <c r="D234" s="193">
        <v>12</v>
      </c>
      <c r="E234" s="193">
        <v>-34</v>
      </c>
      <c r="F234" s="193">
        <v>29</v>
      </c>
      <c r="G234" s="193">
        <v>-13</v>
      </c>
    </row>
    <row r="235" spans="1:7" x14ac:dyDescent="0.2">
      <c r="A235" s="5" t="s">
        <v>316</v>
      </c>
      <c r="B235" s="193">
        <v>0</v>
      </c>
      <c r="C235" s="193">
        <v>7</v>
      </c>
      <c r="D235" s="193">
        <v>0</v>
      </c>
      <c r="E235" s="193">
        <v>0</v>
      </c>
      <c r="F235" s="193">
        <v>-346</v>
      </c>
      <c r="G235" s="193">
        <v>0</v>
      </c>
    </row>
    <row r="236" spans="1:7" x14ac:dyDescent="0.2">
      <c r="A236" s="14" t="s">
        <v>317</v>
      </c>
      <c r="B236" s="196">
        <v>464</v>
      </c>
      <c r="C236" s="196">
        <v>-1053</v>
      </c>
      <c r="D236" s="196">
        <v>-200</v>
      </c>
      <c r="E236" s="196">
        <v>-206</v>
      </c>
      <c r="F236" s="196">
        <v>-37</v>
      </c>
      <c r="G236" s="196">
        <v>-475</v>
      </c>
    </row>
  </sheetData>
  <mergeCells count="7">
    <mergeCell ref="B183:G183"/>
    <mergeCell ref="B13:G13"/>
    <mergeCell ref="I13:K13"/>
    <mergeCell ref="B48:G48"/>
    <mergeCell ref="I48:K48"/>
    <mergeCell ref="B104:G104"/>
    <mergeCell ref="I104:K104"/>
  </mergeCells>
  <phoneticPr fontId="27" type="noConversion"/>
  <pageMargins left="0.7" right="0.7" top="0.75" bottom="0.75" header="0.3" footer="0.3"/>
  <ignoredErrors>
    <ignoredError sqref="J17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35B95-C2E6-5F40-BD2A-E03FCFC4E7BA}">
  <dimension ref="A1:K64"/>
  <sheetViews>
    <sheetView tabSelected="1" topLeftCell="A40" zoomScaleNormal="125" workbookViewId="0">
      <pane xSplit="1" topLeftCell="B1" activePane="topRight" state="frozen"/>
      <selection activeCell="A2" sqref="A2"/>
      <selection pane="topRight" activeCell="I59" sqref="I59:K64"/>
    </sheetView>
  </sheetViews>
  <sheetFormatPr baseColWidth="10" defaultRowHeight="16" x14ac:dyDescent="0.2"/>
  <cols>
    <col min="1" max="1" width="38" customWidth="1"/>
    <col min="2" max="11" width="17.5" customWidth="1"/>
  </cols>
  <sheetData>
    <row r="1" spans="1:11" x14ac:dyDescent="0.2">
      <c r="A1" s="228" t="str">
        <f>Input!A1</f>
        <v>Borrower</v>
      </c>
      <c r="B1" s="228" t="str">
        <f>Input!B1</f>
        <v>Tesco PLC (LSE: TSCO)</v>
      </c>
    </row>
    <row r="2" spans="1:11" x14ac:dyDescent="0.2">
      <c r="A2" s="228" t="s">
        <v>854</v>
      </c>
    </row>
    <row r="4" spans="1:11" ht="17" thickBot="1" x14ac:dyDescent="0.25"/>
    <row r="5" spans="1:11" ht="17" thickBot="1" x14ac:dyDescent="0.25">
      <c r="B5" s="260" t="s">
        <v>6</v>
      </c>
      <c r="C5" s="261"/>
      <c r="D5" s="261"/>
      <c r="E5" s="261"/>
      <c r="F5" s="261"/>
      <c r="G5" s="262"/>
      <c r="I5" s="260" t="s">
        <v>790</v>
      </c>
      <c r="J5" s="261"/>
      <c r="K5" s="262"/>
    </row>
    <row r="6" spans="1:11" x14ac:dyDescent="0.2">
      <c r="A6" s="228" t="s">
        <v>334</v>
      </c>
      <c r="B6" s="229">
        <f>Input!B8</f>
        <v>2020</v>
      </c>
      <c r="C6" s="229">
        <f>Input!C8</f>
        <v>2021</v>
      </c>
      <c r="D6" s="229">
        <f>Input!D8</f>
        <v>2022</v>
      </c>
      <c r="E6" s="229">
        <f>Input!E8</f>
        <v>2023</v>
      </c>
      <c r="F6" s="229">
        <f>Input!F8</f>
        <v>2024</v>
      </c>
      <c r="G6" s="229">
        <f>Input!G8</f>
        <v>2025</v>
      </c>
      <c r="H6" s="229" t="str">
        <f>Input!H8</f>
        <v>Pro-Forma</v>
      </c>
      <c r="I6" s="229">
        <f>Input!I8</f>
        <v>2026</v>
      </c>
      <c r="J6" s="229">
        <f>Input!J8</f>
        <v>2027</v>
      </c>
      <c r="K6" s="229">
        <f>Input!K8</f>
        <v>2028</v>
      </c>
    </row>
    <row r="7" spans="1:11" ht="17" thickBot="1" x14ac:dyDescent="0.25">
      <c r="A7" s="251" t="s">
        <v>873</v>
      </c>
      <c r="B7" s="220"/>
      <c r="C7" s="220"/>
      <c r="D7" s="220"/>
      <c r="E7" s="220"/>
      <c r="F7" s="220"/>
      <c r="G7" s="220"/>
      <c r="H7" s="220"/>
      <c r="I7" s="220"/>
      <c r="J7" s="220"/>
      <c r="K7" s="220"/>
    </row>
    <row r="8" spans="1:11" s="233" customFormat="1" x14ac:dyDescent="0.2">
      <c r="A8" s="233" t="s">
        <v>855</v>
      </c>
      <c r="B8" s="233">
        <f>Input!B38+Input!B42</f>
        <v>1675</v>
      </c>
      <c r="C8" s="233">
        <f>Input!C38+Input!C42</f>
        <v>1096</v>
      </c>
      <c r="D8" s="233">
        <f>Input!D38+Input!D42</f>
        <v>667</v>
      </c>
      <c r="E8" s="233">
        <f>Input!E38+Input!E42</f>
        <v>1437</v>
      </c>
      <c r="F8" s="233">
        <f>Input!F38+Input!F42</f>
        <v>1282</v>
      </c>
      <c r="G8" s="233">
        <f>Input!G38+Input!G42</f>
        <v>1597</v>
      </c>
      <c r="I8" s="233">
        <f>Input!I38+Input!I42</f>
        <v>6002.6</v>
      </c>
      <c r="J8" s="233">
        <f>Input!J38+Input!J42</f>
        <v>6002.6</v>
      </c>
      <c r="K8" s="233">
        <f>Input!K38+Input!K42</f>
        <v>6002.6</v>
      </c>
    </row>
    <row r="9" spans="1:11" x14ac:dyDescent="0.2">
      <c r="A9" t="s">
        <v>856</v>
      </c>
      <c r="B9" s="233">
        <f>Input!B61</f>
        <v>14973</v>
      </c>
      <c r="C9" s="233">
        <f>Input!C61</f>
        <v>14015</v>
      </c>
      <c r="D9" s="233">
        <f>Input!D61</f>
        <v>14085</v>
      </c>
      <c r="E9" s="233">
        <f>Input!E61</f>
        <v>12713</v>
      </c>
      <c r="F9" s="233">
        <f>Input!F61</f>
        <v>12721</v>
      </c>
      <c r="G9" s="233">
        <f>Input!G61</f>
        <v>12187</v>
      </c>
      <c r="H9" s="233"/>
      <c r="I9" s="233">
        <f>Input!I61</f>
        <v>31832.800000000003</v>
      </c>
      <c r="J9" s="233">
        <f>Input!J61</f>
        <v>31916.200000000004</v>
      </c>
      <c r="K9" s="233">
        <f>Input!K61</f>
        <v>31922.600000000006</v>
      </c>
    </row>
    <row r="10" spans="1:11" x14ac:dyDescent="0.2">
      <c r="A10" t="s">
        <v>253</v>
      </c>
      <c r="B10" s="233">
        <f>Input!B63</f>
        <v>17790</v>
      </c>
      <c r="C10" s="233">
        <f>Input!C63</f>
        <v>15670</v>
      </c>
      <c r="D10" s="233">
        <f>Input!D63</f>
        <v>15357</v>
      </c>
      <c r="E10" s="233">
        <f>Input!E63</f>
        <v>15078</v>
      </c>
      <c r="F10" s="233">
        <f>Input!F63</f>
        <v>14841</v>
      </c>
      <c r="G10" s="233">
        <f>Input!G63</f>
        <v>14666</v>
      </c>
      <c r="H10" s="233"/>
      <c r="I10" s="233">
        <f>Input!I63</f>
        <v>54313.4</v>
      </c>
      <c r="J10" s="233">
        <f>Input!J63</f>
        <v>54313.8</v>
      </c>
      <c r="K10" s="233">
        <f>Input!K63</f>
        <v>54314.200000000004</v>
      </c>
    </row>
    <row r="11" spans="1:11" x14ac:dyDescent="0.2">
      <c r="A11" t="s">
        <v>254</v>
      </c>
      <c r="B11" s="233">
        <f>EV!B25</f>
        <v>13631</v>
      </c>
      <c r="C11" s="233">
        <f>EV!C25</f>
        <v>13142</v>
      </c>
      <c r="D11" s="233">
        <f>EV!D25</f>
        <v>12996</v>
      </c>
      <c r="E11" s="233">
        <f>EV!E25</f>
        <v>12602</v>
      </c>
      <c r="F11" s="233">
        <f>EV!F25</f>
        <v>12495</v>
      </c>
      <c r="G11" s="233">
        <f>EV!G25</f>
        <v>12407</v>
      </c>
      <c r="H11" s="233"/>
      <c r="I11" s="233">
        <f>EV!I25</f>
        <v>51907.4</v>
      </c>
      <c r="J11" s="233">
        <f>EV!J25</f>
        <v>51634.8</v>
      </c>
      <c r="K11" s="233">
        <f>EV!K25</f>
        <v>51350.200000000004</v>
      </c>
    </row>
    <row r="12" spans="1:11" x14ac:dyDescent="0.2">
      <c r="A12" t="s">
        <v>346</v>
      </c>
      <c r="B12" s="233">
        <f>Input!B84</f>
        <v>2627</v>
      </c>
      <c r="C12" s="233">
        <f>Input!C84</f>
        <v>1789</v>
      </c>
      <c r="D12" s="233">
        <f>Input!D84</f>
        <v>2870</v>
      </c>
      <c r="E12" s="233">
        <f>Input!E84</f>
        <v>2595</v>
      </c>
      <c r="F12" s="233">
        <f>Input!F84</f>
        <v>2819</v>
      </c>
      <c r="G12" s="233">
        <f>Input!G84</f>
        <v>2999</v>
      </c>
      <c r="H12" s="233"/>
      <c r="I12" s="233">
        <f>Input!I84</f>
        <v>3513.4613568</v>
      </c>
      <c r="J12" s="233">
        <f>Input!J84</f>
        <v>3730.45650872544</v>
      </c>
      <c r="K12" s="233">
        <f>Input!K84</f>
        <v>3959.8229103936928</v>
      </c>
    </row>
    <row r="13" spans="1:11" x14ac:dyDescent="0.2">
      <c r="A13" t="s">
        <v>347</v>
      </c>
      <c r="B13" s="233">
        <f>Input!B87</f>
        <v>2337</v>
      </c>
      <c r="C13" s="233">
        <f>Input!C87</f>
        <v>1685</v>
      </c>
      <c r="D13" s="233">
        <f>Input!D87</f>
        <v>2360</v>
      </c>
      <c r="E13" s="233">
        <f>Input!E87</f>
        <v>2371</v>
      </c>
      <c r="F13" s="233">
        <f>Input!F87</f>
        <v>2294</v>
      </c>
      <c r="G13" s="233">
        <f>Input!G87</f>
        <v>2388</v>
      </c>
      <c r="H13" s="233"/>
      <c r="I13" s="233">
        <f>Input!I87</f>
        <v>2801.5920297600001</v>
      </c>
      <c r="J13" s="233">
        <f>Input!J87</f>
        <v>2954.0948212041267</v>
      </c>
      <c r="K13" s="233">
        <f>Input!K87</f>
        <v>3105.4430054486461</v>
      </c>
    </row>
    <row r="15" spans="1:11" ht="17" thickBot="1" x14ac:dyDescent="0.25">
      <c r="A15" s="251" t="s">
        <v>857</v>
      </c>
      <c r="B15" s="220"/>
      <c r="C15" s="220"/>
      <c r="D15" s="220"/>
      <c r="E15" s="220"/>
      <c r="F15" s="220"/>
      <c r="G15" s="220"/>
      <c r="H15" s="220"/>
      <c r="I15" s="220"/>
      <c r="J15" s="220"/>
      <c r="K15" s="220"/>
    </row>
    <row r="16" spans="1:11" x14ac:dyDescent="0.2">
      <c r="A16" t="s">
        <v>858</v>
      </c>
      <c r="B16" s="273"/>
      <c r="C16" s="273"/>
      <c r="D16" s="273"/>
      <c r="E16" s="273"/>
      <c r="F16" s="273"/>
      <c r="G16" s="273"/>
      <c r="H16" s="233"/>
      <c r="I16" s="273"/>
      <c r="J16" s="273"/>
      <c r="K16" s="273"/>
    </row>
    <row r="17" spans="1:11" x14ac:dyDescent="0.2">
      <c r="A17" t="s">
        <v>859</v>
      </c>
      <c r="B17" s="273"/>
      <c r="C17" s="273"/>
      <c r="D17" s="273"/>
      <c r="E17" s="273"/>
      <c r="F17" s="273"/>
      <c r="G17" s="273"/>
      <c r="H17" s="233"/>
      <c r="I17" s="273"/>
      <c r="J17" s="273"/>
      <c r="K17" s="273"/>
    </row>
    <row r="18" spans="1:11" s="233" customFormat="1" x14ac:dyDescent="0.2">
      <c r="A18" s="233" t="s">
        <v>860</v>
      </c>
      <c r="B18" s="273"/>
      <c r="C18" s="273"/>
      <c r="D18" s="273"/>
      <c r="E18" s="273"/>
      <c r="F18" s="273"/>
      <c r="G18" s="273"/>
      <c r="I18" s="273"/>
      <c r="J18" s="273"/>
      <c r="K18" s="273"/>
    </row>
    <row r="19" spans="1:11" x14ac:dyDescent="0.2">
      <c r="A19" t="s">
        <v>861</v>
      </c>
      <c r="B19" s="273"/>
      <c r="C19" s="273"/>
      <c r="D19" s="273"/>
      <c r="E19" s="273"/>
      <c r="F19" s="273"/>
      <c r="G19" s="273"/>
      <c r="H19" s="233"/>
      <c r="I19" s="273"/>
      <c r="J19" s="273"/>
      <c r="K19" s="273"/>
    </row>
    <row r="20" spans="1:11" s="256" customFormat="1" x14ac:dyDescent="0.2">
      <c r="A20" s="256" t="s">
        <v>908</v>
      </c>
      <c r="B20" s="274"/>
      <c r="C20" s="274"/>
      <c r="D20" s="274"/>
      <c r="E20" s="274"/>
      <c r="F20" s="274"/>
      <c r="G20" s="274"/>
      <c r="I20" s="274"/>
      <c r="J20" s="274"/>
      <c r="K20" s="274"/>
    </row>
    <row r="21" spans="1:11" x14ac:dyDescent="0.2">
      <c r="A21" t="s">
        <v>862</v>
      </c>
      <c r="B21" s="275"/>
      <c r="C21" s="275"/>
      <c r="D21" s="275"/>
      <c r="E21" s="275"/>
      <c r="F21" s="275"/>
      <c r="G21" s="275"/>
      <c r="H21" s="252"/>
      <c r="I21" s="275"/>
      <c r="J21" s="275"/>
      <c r="K21" s="275"/>
    </row>
    <row r="22" spans="1:11" x14ac:dyDescent="0.2">
      <c r="A22" t="s">
        <v>863</v>
      </c>
      <c r="B22" s="275"/>
      <c r="C22" s="275"/>
      <c r="D22" s="275"/>
      <c r="E22" s="275"/>
      <c r="F22" s="275"/>
      <c r="G22" s="275"/>
      <c r="H22" s="252"/>
      <c r="I22" s="275"/>
      <c r="J22" s="275"/>
      <c r="K22" s="275"/>
    </row>
    <row r="23" spans="1:11" x14ac:dyDescent="0.2">
      <c r="A23" t="s">
        <v>864</v>
      </c>
      <c r="B23" s="275"/>
      <c r="C23" s="275"/>
      <c r="D23" s="275"/>
      <c r="E23" s="275"/>
      <c r="F23" s="275"/>
      <c r="G23" s="275"/>
      <c r="H23" s="252"/>
      <c r="I23" s="275"/>
      <c r="J23" s="275"/>
      <c r="K23" s="275"/>
    </row>
    <row r="24" spans="1:11" x14ac:dyDescent="0.2">
      <c r="A24" t="s">
        <v>865</v>
      </c>
      <c r="B24" s="275"/>
      <c r="C24" s="275"/>
      <c r="D24" s="275"/>
      <c r="E24" s="275"/>
      <c r="F24" s="275"/>
      <c r="G24" s="275"/>
      <c r="H24" s="252"/>
      <c r="I24" s="275"/>
      <c r="J24" s="275"/>
      <c r="K24" s="275"/>
    </row>
    <row r="26" spans="1:11" ht="17" thickBot="1" x14ac:dyDescent="0.25">
      <c r="A26" s="251" t="s">
        <v>866</v>
      </c>
      <c r="B26" s="220"/>
      <c r="C26" s="220"/>
      <c r="D26" s="220"/>
      <c r="E26" s="220"/>
      <c r="F26" s="220"/>
      <c r="G26" s="220"/>
      <c r="H26" s="220"/>
      <c r="I26" s="220"/>
      <c r="J26" s="220"/>
      <c r="K26" s="220"/>
    </row>
    <row r="27" spans="1:11" x14ac:dyDescent="0.2">
      <c r="A27" t="s">
        <v>867</v>
      </c>
      <c r="B27" s="275"/>
      <c r="C27" s="275"/>
      <c r="D27" s="275"/>
      <c r="E27" s="275"/>
      <c r="F27" s="275"/>
      <c r="G27" s="275"/>
      <c r="H27" s="252"/>
      <c r="I27" s="275"/>
      <c r="J27" s="275"/>
      <c r="K27" s="275"/>
    </row>
    <row r="28" spans="1:11" x14ac:dyDescent="0.2">
      <c r="A28" t="s">
        <v>868</v>
      </c>
      <c r="B28" s="275"/>
      <c r="C28" s="275"/>
      <c r="D28" s="275"/>
      <c r="E28" s="275"/>
      <c r="F28" s="275"/>
      <c r="G28" s="275"/>
      <c r="H28" s="252"/>
      <c r="I28" s="275"/>
      <c r="J28" s="275"/>
      <c r="K28" s="275"/>
    </row>
    <row r="30" spans="1:11" ht="17" thickBot="1" x14ac:dyDescent="0.25">
      <c r="A30" s="251" t="s">
        <v>874</v>
      </c>
      <c r="B30" s="220"/>
      <c r="C30" s="220"/>
      <c r="D30" s="220"/>
      <c r="E30" s="220"/>
      <c r="F30" s="220"/>
      <c r="G30" s="220"/>
      <c r="H30" s="220"/>
      <c r="I30" s="220"/>
      <c r="J30" s="220"/>
      <c r="K30" s="220"/>
    </row>
    <row r="31" spans="1:11" x14ac:dyDescent="0.2">
      <c r="A31" t="s">
        <v>869</v>
      </c>
      <c r="B31" s="275"/>
      <c r="C31" s="275"/>
      <c r="D31" s="275"/>
      <c r="E31" s="275"/>
      <c r="F31" s="275"/>
      <c r="G31" s="275"/>
      <c r="H31" s="252"/>
      <c r="I31" s="275"/>
      <c r="J31" s="275"/>
      <c r="K31" s="275"/>
    </row>
    <row r="32" spans="1:11" x14ac:dyDescent="0.2">
      <c r="A32" t="s">
        <v>870</v>
      </c>
      <c r="B32" s="275"/>
      <c r="C32" s="275"/>
      <c r="D32" s="275"/>
      <c r="E32" s="275"/>
      <c r="F32" s="275"/>
      <c r="G32" s="275"/>
      <c r="H32" s="252"/>
      <c r="I32" s="275"/>
      <c r="J32" s="275"/>
      <c r="K32" s="275"/>
    </row>
    <row r="33" spans="1:11" x14ac:dyDescent="0.2">
      <c r="A33" t="s">
        <v>871</v>
      </c>
      <c r="B33" s="275"/>
      <c r="C33" s="275"/>
      <c r="D33" s="275"/>
      <c r="E33" s="275"/>
      <c r="F33" s="275"/>
      <c r="G33" s="275"/>
      <c r="H33" s="252"/>
      <c r="I33" s="275"/>
      <c r="J33" s="275"/>
      <c r="K33" s="275"/>
    </row>
    <row r="34" spans="1:11" x14ac:dyDescent="0.2">
      <c r="A34" t="s">
        <v>872</v>
      </c>
      <c r="B34" s="275"/>
      <c r="C34" s="275"/>
      <c r="D34" s="275"/>
      <c r="E34" s="275"/>
      <c r="F34" s="275"/>
      <c r="G34" s="275"/>
      <c r="H34" s="252"/>
      <c r="I34" s="275"/>
      <c r="J34" s="275"/>
      <c r="K34" s="275"/>
    </row>
    <row r="35" spans="1:11" s="252" customFormat="1" x14ac:dyDescent="0.2">
      <c r="A35" s="252" t="s">
        <v>875</v>
      </c>
      <c r="B35" s="275"/>
      <c r="C35" s="275"/>
      <c r="D35" s="275"/>
      <c r="E35" s="275"/>
      <c r="F35" s="275"/>
      <c r="G35" s="275"/>
      <c r="I35" s="275"/>
      <c r="J35" s="275"/>
      <c r="K35" s="275"/>
    </row>
    <row r="37" spans="1:11" ht="17" thickBot="1" x14ac:dyDescent="0.25">
      <c r="A37" s="251" t="s">
        <v>876</v>
      </c>
      <c r="B37" s="220"/>
      <c r="C37" s="220"/>
      <c r="D37" s="220"/>
      <c r="E37" s="220"/>
      <c r="F37" s="220"/>
      <c r="G37" s="220"/>
      <c r="H37" s="220"/>
      <c r="I37" s="220"/>
      <c r="J37" s="220"/>
      <c r="K37" s="220"/>
    </row>
    <row r="38" spans="1:11" x14ac:dyDescent="0.2">
      <c r="A38" t="s">
        <v>907</v>
      </c>
      <c r="B38" s="274"/>
      <c r="C38" s="274"/>
      <c r="D38" s="274"/>
      <c r="E38" s="274"/>
      <c r="F38" s="274"/>
      <c r="G38" s="274"/>
      <c r="H38" s="256"/>
      <c r="I38" s="274"/>
      <c r="J38" s="274"/>
      <c r="K38" s="274"/>
    </row>
    <row r="39" spans="1:11" x14ac:dyDescent="0.2">
      <c r="A39" t="s">
        <v>877</v>
      </c>
      <c r="B39" s="275"/>
      <c r="C39" s="275"/>
      <c r="D39" s="275"/>
      <c r="E39" s="275"/>
      <c r="F39" s="275"/>
      <c r="G39" s="275"/>
      <c r="H39" s="252"/>
      <c r="I39" s="275"/>
      <c r="J39" s="275"/>
      <c r="K39" s="275"/>
    </row>
    <row r="40" spans="1:11" x14ac:dyDescent="0.2">
      <c r="A40" t="s">
        <v>878</v>
      </c>
      <c r="B40" s="275"/>
      <c r="C40" s="275"/>
      <c r="D40" s="275"/>
      <c r="E40" s="275"/>
      <c r="F40" s="275"/>
      <c r="G40" s="275"/>
      <c r="I40" s="276"/>
      <c r="J40" s="276"/>
      <c r="K40" s="276"/>
    </row>
    <row r="41" spans="1:11" x14ac:dyDescent="0.2">
      <c r="A41" t="s">
        <v>879</v>
      </c>
      <c r="B41" s="275"/>
      <c r="C41" s="275"/>
      <c r="D41" s="275"/>
      <c r="E41" s="275"/>
      <c r="F41" s="275"/>
      <c r="G41" s="275"/>
      <c r="I41" s="276"/>
      <c r="J41" s="276"/>
      <c r="K41" s="276"/>
    </row>
    <row r="42" spans="1:11" x14ac:dyDescent="0.2">
      <c r="A42" t="s">
        <v>880</v>
      </c>
      <c r="B42" s="275"/>
      <c r="C42" s="275"/>
      <c r="D42" s="275"/>
      <c r="E42" s="275"/>
      <c r="F42" s="275"/>
      <c r="G42" s="275"/>
      <c r="I42" s="276"/>
      <c r="J42" s="276"/>
      <c r="K42" s="276"/>
    </row>
    <row r="43" spans="1:11" s="252" customFormat="1" x14ac:dyDescent="0.2">
      <c r="A43" s="252" t="s">
        <v>881</v>
      </c>
      <c r="B43" s="275"/>
      <c r="C43" s="275"/>
      <c r="D43" s="275"/>
      <c r="E43" s="275"/>
      <c r="F43" s="275"/>
      <c r="G43" s="275"/>
      <c r="I43" s="275"/>
      <c r="J43" s="275"/>
      <c r="K43" s="275"/>
    </row>
    <row r="44" spans="1:11" x14ac:dyDescent="0.2">
      <c r="A44" t="s">
        <v>882</v>
      </c>
      <c r="B44" s="275"/>
      <c r="C44" s="275"/>
      <c r="D44" s="275"/>
      <c r="E44" s="275"/>
      <c r="F44" s="275"/>
      <c r="G44" s="275"/>
      <c r="H44" s="252"/>
      <c r="I44" s="275"/>
      <c r="J44" s="275"/>
      <c r="K44" s="275"/>
    </row>
    <row r="46" spans="1:11" ht="17" thickBot="1" x14ac:dyDescent="0.25">
      <c r="A46" s="251" t="s">
        <v>883</v>
      </c>
      <c r="B46" s="220"/>
      <c r="C46" s="220"/>
      <c r="D46" s="220"/>
      <c r="E46" s="220"/>
      <c r="F46" s="220"/>
      <c r="G46" s="220"/>
      <c r="H46" s="220"/>
      <c r="I46" s="220"/>
      <c r="J46" s="220"/>
      <c r="K46" s="220"/>
    </row>
    <row r="47" spans="1:11" x14ac:dyDescent="0.2">
      <c r="A47" t="s">
        <v>884</v>
      </c>
      <c r="B47" s="275"/>
      <c r="C47" s="275"/>
      <c r="D47" s="275"/>
      <c r="E47" s="275"/>
      <c r="F47" s="275"/>
      <c r="G47" s="275"/>
      <c r="H47" s="252"/>
      <c r="I47" s="275"/>
      <c r="J47" s="275"/>
      <c r="K47" s="275"/>
    </row>
    <row r="48" spans="1:11" x14ac:dyDescent="0.2">
      <c r="A48" t="s">
        <v>892</v>
      </c>
      <c r="B48" s="275"/>
      <c r="C48" s="275"/>
      <c r="D48" s="275"/>
      <c r="E48" s="275"/>
      <c r="F48" s="275"/>
      <c r="G48" s="275"/>
      <c r="H48" s="252"/>
      <c r="I48" s="275"/>
      <c r="J48" s="275"/>
      <c r="K48" s="275"/>
    </row>
    <row r="49" spans="1:11" x14ac:dyDescent="0.2">
      <c r="A49" t="s">
        <v>885</v>
      </c>
      <c r="B49" s="275"/>
      <c r="C49" s="275"/>
      <c r="D49" s="275"/>
      <c r="E49" s="275"/>
      <c r="F49" s="275"/>
      <c r="G49" s="275"/>
      <c r="H49" s="252"/>
      <c r="I49" s="275"/>
      <c r="J49" s="275"/>
      <c r="K49" s="275"/>
    </row>
    <row r="50" spans="1:11" x14ac:dyDescent="0.2">
      <c r="A50" t="s">
        <v>886</v>
      </c>
      <c r="B50" s="275"/>
      <c r="C50" s="275"/>
      <c r="D50" s="275"/>
      <c r="E50" s="275"/>
      <c r="F50" s="275"/>
      <c r="G50" s="275"/>
      <c r="H50" s="252"/>
      <c r="I50" s="275"/>
      <c r="J50" s="275"/>
      <c r="K50" s="275"/>
    </row>
    <row r="51" spans="1:11" x14ac:dyDescent="0.2">
      <c r="A51" t="s">
        <v>887</v>
      </c>
      <c r="B51" s="275"/>
      <c r="C51" s="275"/>
      <c r="D51" s="275"/>
      <c r="E51" s="275"/>
      <c r="F51" s="275"/>
      <c r="G51" s="275"/>
      <c r="I51" s="276"/>
      <c r="J51" s="276"/>
      <c r="K51" s="276"/>
    </row>
    <row r="52" spans="1:11" x14ac:dyDescent="0.2">
      <c r="A52" t="s">
        <v>888</v>
      </c>
      <c r="B52" s="275"/>
      <c r="C52" s="275"/>
      <c r="D52" s="275"/>
      <c r="E52" s="275"/>
      <c r="F52" s="275"/>
      <c r="G52" s="275"/>
      <c r="H52" s="252"/>
      <c r="I52" s="275"/>
      <c r="J52" s="275"/>
      <c r="K52" s="275"/>
    </row>
    <row r="53" spans="1:11" x14ac:dyDescent="0.2">
      <c r="A53" t="s">
        <v>889</v>
      </c>
      <c r="B53" s="275"/>
      <c r="C53" s="275"/>
      <c r="D53" s="275"/>
      <c r="E53" s="275"/>
      <c r="F53" s="275"/>
      <c r="G53" s="275"/>
      <c r="H53" s="252"/>
      <c r="I53" s="275"/>
      <c r="J53" s="275"/>
      <c r="K53" s="275"/>
    </row>
    <row r="54" spans="1:11" x14ac:dyDescent="0.2">
      <c r="A54" t="s">
        <v>890</v>
      </c>
      <c r="B54" s="275"/>
      <c r="C54" s="275"/>
      <c r="D54" s="275"/>
      <c r="E54" s="275"/>
      <c r="F54" s="275"/>
      <c r="G54" s="275"/>
      <c r="H54" s="252"/>
      <c r="I54" s="275"/>
      <c r="J54" s="275"/>
      <c r="K54" s="275"/>
    </row>
    <row r="55" spans="1:11" s="252" customFormat="1" x14ac:dyDescent="0.2">
      <c r="A55" s="252" t="s">
        <v>891</v>
      </c>
      <c r="B55" s="275"/>
      <c r="C55" s="275"/>
      <c r="D55" s="275"/>
      <c r="E55" s="275"/>
      <c r="F55" s="275"/>
      <c r="G55" s="275"/>
      <c r="I55" s="275"/>
      <c r="J55" s="275"/>
      <c r="K55" s="275"/>
    </row>
    <row r="56" spans="1:11" s="252" customFormat="1" x14ac:dyDescent="0.2">
      <c r="A56" s="252" t="s">
        <v>893</v>
      </c>
      <c r="B56" s="275"/>
      <c r="C56" s="275"/>
      <c r="D56" s="275"/>
      <c r="E56" s="275"/>
      <c r="F56" s="275"/>
      <c r="G56" s="275"/>
      <c r="I56" s="275"/>
      <c r="J56" s="275"/>
      <c r="K56" s="275"/>
    </row>
    <row r="58" spans="1:11" ht="17" thickBot="1" x14ac:dyDescent="0.25">
      <c r="A58" s="251" t="s">
        <v>894</v>
      </c>
      <c r="B58" s="220"/>
      <c r="C58" s="220"/>
      <c r="D58" s="220"/>
      <c r="E58" s="220"/>
      <c r="F58" s="220"/>
      <c r="G58" s="220"/>
      <c r="H58" s="220"/>
      <c r="I58" s="220"/>
      <c r="J58" s="220"/>
      <c r="K58" s="220"/>
    </row>
    <row r="59" spans="1:11" x14ac:dyDescent="0.2">
      <c r="A59" t="s">
        <v>895</v>
      </c>
      <c r="B59" s="277"/>
      <c r="C59" s="275"/>
      <c r="D59" s="275"/>
      <c r="E59" s="275"/>
      <c r="F59" s="275"/>
      <c r="G59" s="275"/>
      <c r="H59" s="252"/>
      <c r="I59" s="275"/>
      <c r="J59" s="275"/>
      <c r="K59" s="275"/>
    </row>
    <row r="60" spans="1:11" x14ac:dyDescent="0.2">
      <c r="A60" t="s">
        <v>896</v>
      </c>
      <c r="B60" s="277"/>
      <c r="C60" s="275"/>
      <c r="D60" s="275"/>
      <c r="E60" s="275"/>
      <c r="F60" s="275"/>
      <c r="G60" s="275"/>
      <c r="H60" s="252"/>
      <c r="I60" s="275"/>
      <c r="J60" s="275"/>
      <c r="K60" s="275"/>
    </row>
    <row r="61" spans="1:11" x14ac:dyDescent="0.2">
      <c r="A61" t="s">
        <v>897</v>
      </c>
      <c r="B61" s="277"/>
      <c r="C61" s="275"/>
      <c r="D61" s="275"/>
      <c r="E61" s="275"/>
      <c r="F61" s="275"/>
      <c r="G61" s="275"/>
      <c r="H61" s="252"/>
      <c r="I61" s="275"/>
      <c r="J61" s="275"/>
      <c r="K61" s="275"/>
    </row>
    <row r="62" spans="1:11" x14ac:dyDescent="0.2">
      <c r="A62" t="s">
        <v>898</v>
      </c>
      <c r="B62" s="277"/>
      <c r="C62" s="275"/>
      <c r="D62" s="275"/>
      <c r="E62" s="275"/>
      <c r="F62" s="275"/>
      <c r="G62" s="275"/>
      <c r="H62" s="252"/>
      <c r="I62" s="275"/>
      <c r="J62" s="275"/>
      <c r="K62" s="275"/>
    </row>
    <row r="63" spans="1:11" x14ac:dyDescent="0.2">
      <c r="A63" t="s">
        <v>899</v>
      </c>
      <c r="B63" s="277"/>
      <c r="C63" s="275"/>
      <c r="D63" s="275"/>
      <c r="E63" s="275"/>
      <c r="F63" s="275"/>
      <c r="G63" s="275"/>
      <c r="I63" s="275"/>
      <c r="J63" s="275"/>
      <c r="K63" s="275"/>
    </row>
    <row r="64" spans="1:11" s="252" customFormat="1" x14ac:dyDescent="0.2">
      <c r="A64" s="252" t="s">
        <v>900</v>
      </c>
      <c r="B64" s="278"/>
      <c r="C64" s="275"/>
      <c r="D64" s="275"/>
      <c r="E64" s="275"/>
      <c r="F64" s="275"/>
      <c r="G64" s="275"/>
      <c r="I64" s="275"/>
      <c r="J64" s="275"/>
      <c r="K64" s="275"/>
    </row>
  </sheetData>
  <mergeCells count="2">
    <mergeCell ref="B5:G5"/>
    <mergeCell ref="I5:K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86B15-2077-1041-BE29-7E24F02F004A}">
  <dimension ref="A1:K114"/>
  <sheetViews>
    <sheetView topLeftCell="A64" zoomScaleNormal="150" workbookViewId="0">
      <pane xSplit="1" topLeftCell="B1" activePane="topRight" state="frozen"/>
      <selection pane="topRight" activeCell="F79" sqref="F79"/>
    </sheetView>
  </sheetViews>
  <sheetFormatPr baseColWidth="10" defaultRowHeight="16" x14ac:dyDescent="0.2"/>
  <cols>
    <col min="1" max="1" width="38.5" style="2" bestFit="1" customWidth="1"/>
    <col min="2" max="256" width="15.83203125" style="2" customWidth="1"/>
    <col min="257" max="16384" width="10.83203125" style="2"/>
  </cols>
  <sheetData>
    <row r="1" spans="1:11" x14ac:dyDescent="0.2">
      <c r="A1" s="4" t="s">
        <v>325</v>
      </c>
      <c r="B1" s="4" t="s">
        <v>326</v>
      </c>
      <c r="F1" s="4" t="s">
        <v>328</v>
      </c>
      <c r="G1" s="52" t="s">
        <v>329</v>
      </c>
    </row>
    <row r="2" spans="1:11" x14ac:dyDescent="0.2">
      <c r="A2" s="2" t="s">
        <v>327</v>
      </c>
      <c r="G2" s="2" t="s">
        <v>331</v>
      </c>
    </row>
    <row r="3" spans="1:11" x14ac:dyDescent="0.2">
      <c r="A3" s="2" t="s">
        <v>330</v>
      </c>
      <c r="B3" s="53">
        <f>'Balance Sheet'!G15</f>
        <v>45710</v>
      </c>
      <c r="G3" s="4" t="s">
        <v>333</v>
      </c>
    </row>
    <row r="4" spans="1:11" x14ac:dyDescent="0.2">
      <c r="A4" s="2" t="s">
        <v>332</v>
      </c>
      <c r="B4" s="2" t="str">
        <f>'Income Statement'!A7</f>
        <v>In Millions of the reported currency, except per share items.</v>
      </c>
    </row>
    <row r="5" spans="1:11" x14ac:dyDescent="0.2">
      <c r="A5" s="2" t="s">
        <v>23</v>
      </c>
      <c r="B5" s="2" t="str">
        <f>'Balance Sheet'!G16</f>
        <v>GBP</v>
      </c>
    </row>
    <row r="6" spans="1:11" ht="17" thickBot="1" x14ac:dyDescent="0.25"/>
    <row r="7" spans="1:11" ht="17" thickBot="1" x14ac:dyDescent="0.25">
      <c r="B7" s="263" t="s">
        <v>6</v>
      </c>
      <c r="C7" s="264"/>
      <c r="D7" s="264"/>
      <c r="E7" s="264"/>
      <c r="F7" s="264"/>
      <c r="G7" s="265"/>
      <c r="I7" s="263" t="s">
        <v>790</v>
      </c>
      <c r="J7" s="264"/>
      <c r="K7" s="265"/>
    </row>
    <row r="8" spans="1:11" s="56" customFormat="1" x14ac:dyDescent="0.2">
      <c r="A8" s="54" t="s">
        <v>334</v>
      </c>
      <c r="B8" s="197">
        <f>'Operating Assumptions &amp; Proj'!B105</f>
        <v>2020</v>
      </c>
      <c r="C8" s="197">
        <f>'Operating Assumptions &amp; Proj'!C105</f>
        <v>2021</v>
      </c>
      <c r="D8" s="197">
        <f>'Operating Assumptions &amp; Proj'!D105</f>
        <v>2022</v>
      </c>
      <c r="E8" s="197">
        <f>'Operating Assumptions &amp; Proj'!E105</f>
        <v>2023</v>
      </c>
      <c r="F8" s="197">
        <f>'Operating Assumptions &amp; Proj'!F105</f>
        <v>2024</v>
      </c>
      <c r="G8" s="197">
        <f>'Operating Assumptions &amp; Proj'!G105</f>
        <v>2025</v>
      </c>
      <c r="H8" s="91" t="s">
        <v>819</v>
      </c>
      <c r="I8" s="56">
        <v>2026</v>
      </c>
      <c r="J8" s="56">
        <v>2027</v>
      </c>
      <c r="K8" s="56">
        <v>2028</v>
      </c>
    </row>
    <row r="9" spans="1:11" x14ac:dyDescent="0.2">
      <c r="A9" s="2" t="s">
        <v>335</v>
      </c>
      <c r="B9" s="57">
        <v>12</v>
      </c>
      <c r="C9" s="57">
        <v>12</v>
      </c>
      <c r="D9" s="57">
        <v>12</v>
      </c>
      <c r="E9" s="57">
        <v>12</v>
      </c>
      <c r="F9" s="57">
        <v>12</v>
      </c>
      <c r="G9" s="57">
        <v>12</v>
      </c>
      <c r="I9" s="57">
        <v>12</v>
      </c>
      <c r="J9" s="57">
        <v>12</v>
      </c>
      <c r="K9" s="57">
        <v>12</v>
      </c>
    </row>
    <row r="11" spans="1:11" x14ac:dyDescent="0.2">
      <c r="A11" s="58" t="s">
        <v>186</v>
      </c>
    </row>
    <row r="12" spans="1:11" x14ac:dyDescent="0.2">
      <c r="A12" s="5" t="s">
        <v>192</v>
      </c>
      <c r="B12" s="59">
        <f>INDEX('Operating Assumptions &amp; Proj'!$A$105:$K$174,MATCH(Input!$A12,'Operating Assumptions &amp; Proj'!$A$105:$A$174,0),MATCH(Input!B$8,'Operating Assumptions &amp; Proj'!$105:$105,0))</f>
        <v>4137</v>
      </c>
      <c r="C12" s="59">
        <f>INDEX('Operating Assumptions &amp; Proj'!$A$105:$K$174,MATCH(Input!$A12,'Operating Assumptions &amp; Proj'!$A$105:$A$174,0),MATCH(Input!C$8,'Operating Assumptions &amp; Proj'!$105:$105,0))</f>
        <v>2510</v>
      </c>
      <c r="D12" s="59">
        <f>INDEX('Operating Assumptions &amp; Proj'!$A$105:$K$174,MATCH(Input!$A12,'Operating Assumptions &amp; Proj'!$A$105:$A$174,0),MATCH(Input!D$8,'Operating Assumptions &amp; Proj'!$105:$105,0))</f>
        <v>2345</v>
      </c>
      <c r="E12" s="59">
        <f>INDEX('Operating Assumptions &amp; Proj'!$A$105:$K$174,MATCH(Input!$A12,'Operating Assumptions &amp; Proj'!$A$105:$A$174,0),MATCH(Input!E$8,'Operating Assumptions &amp; Proj'!$105:$105,0))</f>
        <v>2465</v>
      </c>
      <c r="F12" s="59">
        <f>INDEX('Operating Assumptions &amp; Proj'!$A$105:$K$174,MATCH(Input!$A12,'Operating Assumptions &amp; Proj'!$A$105:$A$174,0),MATCH(Input!F$8,'Operating Assumptions &amp; Proj'!$105:$105,0))</f>
        <v>2340</v>
      </c>
      <c r="G12" s="59">
        <f>INDEX('Operating Assumptions &amp; Proj'!$A$105:$K$174,MATCH(Input!$A12,'Operating Assumptions &amp; Proj'!$A$105:$A$174,0),MATCH(Input!G$8,'Operating Assumptions &amp; Proj'!$105:$105,0))</f>
        <v>2255</v>
      </c>
      <c r="H12" s="59">
        <f>INDEX('Operating Assumptions &amp; Proj'!$A$105:$K$174,MATCH(Input!$A12,'Operating Assumptions &amp; Proj'!$A$105:$A$174,0),MATCH(Input!H$8,'Operating Assumptions &amp; Proj'!$105:$105,0))</f>
        <v>750</v>
      </c>
      <c r="I12" s="59">
        <f>INDEX('Operating Assumptions &amp; Proj'!$A$105:$K$174,MATCH(Input!$A12,'Operating Assumptions &amp; Proj'!$A$105:$A$174,0),MATCH(Input!I$8,'Operating Assumptions &amp; Proj'!$105:$105,0))</f>
        <v>2406</v>
      </c>
      <c r="J12" s="59">
        <f>INDEX('Operating Assumptions &amp; Proj'!$A$105:$K$174,MATCH(Input!$A12,'Operating Assumptions &amp; Proj'!$A$105:$A$174,0),MATCH(Input!J$8,'Operating Assumptions &amp; Proj'!$105:$105,0))</f>
        <v>2679</v>
      </c>
      <c r="K12" s="59">
        <f>INDEX('Operating Assumptions &amp; Proj'!$A$105:$K$174,MATCH(Input!$A12,'Operating Assumptions &amp; Proj'!$A$105:$A$174,0),MATCH(Input!K$8,'Operating Assumptions &amp; Proj'!$105:$105,0))</f>
        <v>2964</v>
      </c>
    </row>
    <row r="13" spans="1:11" s="4" customFormat="1" ht="17" thickBot="1" x14ac:dyDescent="0.25">
      <c r="A13" s="4" t="s">
        <v>336</v>
      </c>
      <c r="B13" s="253">
        <f t="shared" ref="B13:K13" si="0">B12</f>
        <v>4137</v>
      </c>
      <c r="C13" s="253">
        <f t="shared" si="0"/>
        <v>2510</v>
      </c>
      <c r="D13" s="253">
        <f t="shared" si="0"/>
        <v>2345</v>
      </c>
      <c r="E13" s="253">
        <f t="shared" si="0"/>
        <v>2465</v>
      </c>
      <c r="F13" s="253">
        <f t="shared" si="0"/>
        <v>2340</v>
      </c>
      <c r="G13" s="253">
        <f t="shared" si="0"/>
        <v>2255</v>
      </c>
      <c r="H13" s="253">
        <f t="shared" si="0"/>
        <v>750</v>
      </c>
      <c r="I13" s="253">
        <f t="shared" si="0"/>
        <v>2406</v>
      </c>
      <c r="J13" s="253">
        <f t="shared" si="0"/>
        <v>2679</v>
      </c>
      <c r="K13" s="253">
        <f t="shared" si="0"/>
        <v>2964</v>
      </c>
    </row>
    <row r="14" spans="1:11" ht="17" thickTop="1" x14ac:dyDescent="0.2">
      <c r="B14" s="59"/>
      <c r="C14" s="59"/>
      <c r="D14" s="59"/>
      <c r="E14" s="59"/>
      <c r="F14" s="59"/>
      <c r="G14" s="59"/>
    </row>
    <row r="15" spans="1:11" x14ac:dyDescent="0.2">
      <c r="A15" s="5" t="s">
        <v>199</v>
      </c>
      <c r="B15" s="59">
        <f>INDEX('Operating Assumptions &amp; Proj'!$A$105:$K$174,MATCH(Input!$A15,'Operating Assumptions &amp; Proj'!$A$105:$A$174,0),MATCH(Input!B$8,'Operating Assumptions &amp; Proj'!$105:$105,0))</f>
        <v>2433</v>
      </c>
      <c r="C15" s="59">
        <f>INDEX('Operating Assumptions &amp; Proj'!$A$105:$K$174,MATCH(Input!$A15,'Operating Assumptions &amp; Proj'!$A$105:$A$174,0),MATCH(Input!C$8,'Operating Assumptions &amp; Proj'!$105:$105,0))</f>
        <v>2069</v>
      </c>
      <c r="D15" s="59">
        <f>INDEX('Operating Assumptions &amp; Proj'!$A$105:$K$174,MATCH(Input!$A15,'Operating Assumptions &amp; Proj'!$A$105:$A$174,0),MATCH(Input!D$8,'Operating Assumptions &amp; Proj'!$105:$105,0))</f>
        <v>2339</v>
      </c>
      <c r="E15" s="59">
        <f>INDEX('Operating Assumptions &amp; Proj'!$A$105:$K$174,MATCH(Input!$A15,'Operating Assumptions &amp; Proj'!$A$105:$A$174,0),MATCH(Input!E$8,'Operating Assumptions &amp; Proj'!$105:$105,0))</f>
        <v>2510</v>
      </c>
      <c r="F15" s="59">
        <f>INDEX('Operating Assumptions &amp; Proj'!$A$105:$K$174,MATCH(Input!$A15,'Operating Assumptions &amp; Proj'!$A$105:$A$174,0),MATCH(Input!F$8,'Operating Assumptions &amp; Proj'!$105:$105,0))</f>
        <v>2635</v>
      </c>
      <c r="G15" s="59">
        <f>INDEX('Operating Assumptions &amp; Proj'!$A$105:$K$174,MATCH(Input!$A15,'Operating Assumptions &amp; Proj'!$A$105:$A$174,0),MATCH(Input!G$8,'Operating Assumptions &amp; Proj'!$105:$105,0))</f>
        <v>2768</v>
      </c>
      <c r="H15" s="59">
        <f>INDEX('Operating Assumptions &amp; Proj'!$A$105:$K$174,MATCH(Input!$A15,'Operating Assumptions &amp; Proj'!$A$105:$A$174,0),MATCH(Input!H$8,'Operating Assumptions &amp; Proj'!$105:$105,0))</f>
        <v>2768</v>
      </c>
      <c r="I15" s="59">
        <f>INDEX('Operating Assumptions &amp; Proj'!$A$105:$K$174,MATCH(Input!$A15,'Operating Assumptions &amp; Proj'!$A$105:$A$174,0),MATCH(Input!I$8,'Operating Assumptions &amp; Proj'!$105:$105,0))</f>
        <v>3113.0327405551902</v>
      </c>
      <c r="J15" s="59">
        <f>INDEX('Operating Assumptions &amp; Proj'!$A$105:$K$174,MATCH(Input!$A15,'Operating Assumptions &amp; Proj'!$A$105:$A$174,0),MATCH(Input!J$8,'Operating Assumptions &amp; Proj'!$105:$105,0))</f>
        <v>3271.1748037753941</v>
      </c>
      <c r="K15" s="59">
        <f>INDEX('Operating Assumptions &amp; Proj'!$A$105:$K$174,MATCH(Input!$A15,'Operating Assumptions &amp; Proj'!$A$105:$A$174,0),MATCH(Input!K$8,'Operating Assumptions &amp; Proj'!$105:$105,0))</f>
        <v>3437.350483807184</v>
      </c>
    </row>
    <row r="16" spans="1:11" x14ac:dyDescent="0.2">
      <c r="B16" s="59"/>
      <c r="C16" s="59"/>
      <c r="D16" s="59"/>
      <c r="E16" s="59"/>
      <c r="F16" s="59"/>
      <c r="G16" s="59"/>
    </row>
    <row r="17" spans="1:11" x14ac:dyDescent="0.2">
      <c r="A17" s="5" t="s">
        <v>195</v>
      </c>
      <c r="B17" s="59">
        <f>INDEX('Operating Assumptions &amp; Proj'!$A$105:$K$174,MATCH(Input!$A17,'Operating Assumptions &amp; Proj'!$A$105:$A$174,0),MATCH(Input!B$8,'Operating Assumptions &amp; Proj'!$105:$105,0))</f>
        <v>1396</v>
      </c>
      <c r="C17" s="59">
        <f>INDEX('Operating Assumptions &amp; Proj'!$A$105:$K$174,MATCH(Input!$A17,'Operating Assumptions &amp; Proj'!$A$105:$A$174,0),MATCH(Input!C$8,'Operating Assumptions &amp; Proj'!$105:$105,0))</f>
        <v>1263</v>
      </c>
      <c r="D17" s="59">
        <f>INDEX('Operating Assumptions &amp; Proj'!$A$105:$K$174,MATCH(Input!$A17,'Operating Assumptions &amp; Proj'!$A$105:$A$174,0),MATCH(Input!D$8,'Operating Assumptions &amp; Proj'!$105:$105,0))</f>
        <v>1263</v>
      </c>
      <c r="E17" s="59">
        <f>INDEX('Operating Assumptions &amp; Proj'!$A$105:$K$174,MATCH(Input!$A17,'Operating Assumptions &amp; Proj'!$A$105:$A$174,0),MATCH(Input!E$8,'Operating Assumptions &amp; Proj'!$105:$105,0))</f>
        <v>1235</v>
      </c>
      <c r="F17" s="59">
        <f>INDEX('Operating Assumptions &amp; Proj'!$A$105:$K$174,MATCH(Input!$A17,'Operating Assumptions &amp; Proj'!$A$105:$A$174,0),MATCH(Input!F$8,'Operating Assumptions &amp; Proj'!$105:$105,0))</f>
        <v>1349</v>
      </c>
      <c r="G17" s="59">
        <f>INDEX('Operating Assumptions &amp; Proj'!$A$105:$K$174,MATCH(Input!$A17,'Operating Assumptions &amp; Proj'!$A$105:$A$174,0),MATCH(Input!G$8,'Operating Assumptions &amp; Proj'!$105:$105,0))</f>
        <v>1210</v>
      </c>
      <c r="H17" s="59">
        <f>INDEX('Operating Assumptions &amp; Proj'!$A$105:$K$174,MATCH(Input!$A17,'Operating Assumptions &amp; Proj'!$A$105:$A$174,0),MATCH(Input!H$8,'Operating Assumptions &amp; Proj'!$105:$105,0))</f>
        <v>1210</v>
      </c>
      <c r="I17" s="59">
        <f>INDEX('Operating Assumptions &amp; Proj'!$A$105:$K$174,MATCH(Input!$A17,'Operating Assumptions &amp; Proj'!$A$105:$A$174,0),MATCH(Input!I$8,'Operating Assumptions &amp; Proj'!$105:$105,0))</f>
        <v>1593.5540339726026</v>
      </c>
      <c r="J17" s="59">
        <f>INDEX('Operating Assumptions &amp; Proj'!$A$105:$K$174,MATCH(Input!$A17,'Operating Assumptions &amp; Proj'!$A$105:$A$174,0),MATCH(Input!J$8,'Operating Assumptions &amp; Proj'!$105:$105,0))</f>
        <v>1674.5065788984107</v>
      </c>
      <c r="K17" s="59">
        <f>INDEX('Operating Assumptions &amp; Proj'!$A$105:$K$174,MATCH(Input!$A17,'Operating Assumptions &amp; Proj'!$A$105:$A$174,0),MATCH(Input!K$8,'Operating Assumptions &amp; Proj'!$105:$105,0))</f>
        <v>1759.5715131064501</v>
      </c>
    </row>
    <row r="18" spans="1:11" x14ac:dyDescent="0.2">
      <c r="A18" s="5" t="s">
        <v>200</v>
      </c>
      <c r="B18" s="59">
        <f>INDEX('Operating Assumptions &amp; Proj'!$A$105:$K$174,MATCH(Input!$A18,'Operating Assumptions &amp; Proj'!$A$105:$A$174,0),MATCH(Input!B$8,'Operating Assumptions &amp; Proj'!$105:$105,0))</f>
        <v>0</v>
      </c>
      <c r="C18" s="59">
        <f>INDEX('Operating Assumptions &amp; Proj'!$A$105:$K$174,MATCH(Input!$A18,'Operating Assumptions &amp; Proj'!$A$105:$A$174,0),MATCH(Input!C$8,'Operating Assumptions &amp; Proj'!$105:$105,0))</f>
        <v>0</v>
      </c>
      <c r="D18" s="59">
        <f>INDEX('Operating Assumptions &amp; Proj'!$A$105:$K$174,MATCH(Input!$A18,'Operating Assumptions &amp; Proj'!$A$105:$A$174,0),MATCH(Input!D$8,'Operating Assumptions &amp; Proj'!$105:$105,0))</f>
        <v>0</v>
      </c>
      <c r="E18" s="59">
        <f>INDEX('Operating Assumptions &amp; Proj'!$A$105:$K$174,MATCH(Input!$A18,'Operating Assumptions &amp; Proj'!$A$105:$A$174,0),MATCH(Input!E$8,'Operating Assumptions &amp; Proj'!$105:$105,0))</f>
        <v>0</v>
      </c>
      <c r="F18" s="59">
        <f>INDEX('Operating Assumptions &amp; Proj'!$A$105:$K$174,MATCH(Input!$A18,'Operating Assumptions &amp; Proj'!$A$105:$A$174,0),MATCH(Input!F$8,'Operating Assumptions &amp; Proj'!$105:$105,0))</f>
        <v>0</v>
      </c>
      <c r="G18" s="59">
        <f>INDEX('Operating Assumptions &amp; Proj'!$A$105:$K$174,MATCH(Input!$A18,'Operating Assumptions &amp; Proj'!$A$105:$A$174,0),MATCH(Input!G$8,'Operating Assumptions &amp; Proj'!$105:$105,0))</f>
        <v>0</v>
      </c>
      <c r="H18" s="59">
        <f>INDEX('Operating Assumptions &amp; Proj'!$A$105:$K$174,MATCH(Input!$A18,'Operating Assumptions &amp; Proj'!$A$105:$A$174,0),MATCH(Input!H$8,'Operating Assumptions &amp; Proj'!$105:$105,0))</f>
        <v>0</v>
      </c>
      <c r="I18" s="59">
        <f>INDEX('Operating Assumptions &amp; Proj'!$A$105:$K$174,MATCH(Input!$A18,'Operating Assumptions &amp; Proj'!$A$105:$A$174,0),MATCH(Input!I$8,'Operating Assumptions &amp; Proj'!$105:$105,0))</f>
        <v>0</v>
      </c>
      <c r="J18" s="59">
        <f>INDEX('Operating Assumptions &amp; Proj'!$A$105:$K$174,MATCH(Input!$A18,'Operating Assumptions &amp; Proj'!$A$105:$A$174,0),MATCH(Input!J$8,'Operating Assumptions &amp; Proj'!$105:$105,0))</f>
        <v>0</v>
      </c>
      <c r="K18" s="59">
        <f>INDEX('Operating Assumptions &amp; Proj'!$A$105:$K$174,MATCH(Input!$A18,'Operating Assumptions &amp; Proj'!$A$105:$A$174,0),MATCH(Input!K$8,'Operating Assumptions &amp; Proj'!$105:$105,0))</f>
        <v>0</v>
      </c>
    </row>
    <row r="19" spans="1:11" ht="17" thickBot="1" x14ac:dyDescent="0.25">
      <c r="A19" s="4" t="s">
        <v>337</v>
      </c>
      <c r="B19" s="253">
        <f>SUM(B15,B17:B18)</f>
        <v>3829</v>
      </c>
      <c r="C19" s="253">
        <f t="shared" ref="C19:H19" si="1">SUM(C15,C17:C18)</f>
        <v>3332</v>
      </c>
      <c r="D19" s="253">
        <f t="shared" si="1"/>
        <v>3602</v>
      </c>
      <c r="E19" s="253">
        <f t="shared" si="1"/>
        <v>3745</v>
      </c>
      <c r="F19" s="253">
        <f t="shared" si="1"/>
        <v>3984</v>
      </c>
      <c r="G19" s="253">
        <f t="shared" si="1"/>
        <v>3978</v>
      </c>
      <c r="H19" s="253">
        <f t="shared" si="1"/>
        <v>3978</v>
      </c>
      <c r="I19" s="253">
        <f t="shared" ref="I19:K19" si="2">SUM(I15,I17:I18)</f>
        <v>4706.5867745277928</v>
      </c>
      <c r="J19" s="253">
        <f t="shared" si="2"/>
        <v>4945.6813826738053</v>
      </c>
      <c r="K19" s="253">
        <f t="shared" si="2"/>
        <v>5196.9219969136338</v>
      </c>
    </row>
    <row r="20" spans="1:11" ht="17" thickTop="1" x14ac:dyDescent="0.2">
      <c r="B20" s="59"/>
      <c r="C20" s="59"/>
      <c r="D20" s="59"/>
      <c r="E20" s="59"/>
      <c r="F20" s="59"/>
      <c r="G20" s="59"/>
      <c r="H20" s="59"/>
      <c r="I20" s="59"/>
      <c r="J20" s="59"/>
      <c r="K20" s="59"/>
    </row>
    <row r="21" spans="1:11" x14ac:dyDescent="0.2">
      <c r="A21" s="5" t="s">
        <v>201</v>
      </c>
      <c r="B21" s="59">
        <f>INDEX('Operating Assumptions &amp; Proj'!$A$105:$K$174,MATCH(Input!$A21,'Operating Assumptions &amp; Proj'!$A$105:$A$174,0),MATCH(Input!B$8,'Operating Assumptions &amp; Proj'!$105:$105,0))</f>
        <v>4280</v>
      </c>
      <c r="C21" s="59">
        <f>INDEX('Operating Assumptions &amp; Proj'!$A$105:$K$174,MATCH(Input!$A21,'Operating Assumptions &amp; Proj'!$A$105:$A$174,0),MATCH(Input!C$8,'Operating Assumptions &amp; Proj'!$105:$105,0))</f>
        <v>3093</v>
      </c>
      <c r="D21" s="59">
        <f>INDEX('Operating Assumptions &amp; Proj'!$A$105:$K$174,MATCH(Input!$A21,'Operating Assumptions &amp; Proj'!$A$105:$A$174,0),MATCH(Input!D$8,'Operating Assumptions &amp; Proj'!$105:$105,0))</f>
        <v>3349</v>
      </c>
      <c r="E21" s="59">
        <f>INDEX('Operating Assumptions &amp; Proj'!$A$105:$K$174,MATCH(Input!$A21,'Operating Assumptions &amp; Proj'!$A$105:$A$174,0),MATCH(Input!E$8,'Operating Assumptions &amp; Proj'!$105:$105,0))</f>
        <v>3948</v>
      </c>
      <c r="F21" s="59">
        <f>INDEX('Operating Assumptions &amp; Proj'!$A$105:$K$174,MATCH(Input!$A21,'Operating Assumptions &amp; Proj'!$A$105:$A$174,0),MATCH(Input!F$8,'Operating Assumptions &amp; Proj'!$105:$105,0))</f>
        <v>0</v>
      </c>
      <c r="G21" s="59">
        <f>INDEX('Operating Assumptions &amp; Proj'!$A$105:$K$174,MATCH(Input!$A21,'Operating Assumptions &amp; Proj'!$A$105:$A$174,0),MATCH(Input!G$8,'Operating Assumptions &amp; Proj'!$105:$105,0))</f>
        <v>0</v>
      </c>
      <c r="H21" s="59">
        <f>INDEX('Operating Assumptions &amp; Proj'!$A$105:$K$174,MATCH(Input!$A21,'Operating Assumptions &amp; Proj'!$A$105:$A$174,0),MATCH(Input!H$8,'Operating Assumptions &amp; Proj'!$105:$105,0))</f>
        <v>0</v>
      </c>
      <c r="I21" s="59">
        <f>INDEX('Operating Assumptions &amp; Proj'!$A$105:$K$174,MATCH(Input!$A21,'Operating Assumptions &amp; Proj'!$A$105:$A$174,0),MATCH(Input!I$8,'Operating Assumptions &amp; Proj'!$105:$105,0))</f>
        <v>0</v>
      </c>
      <c r="J21" s="59">
        <f>INDEX('Operating Assumptions &amp; Proj'!$A$105:$K$174,MATCH(Input!$A21,'Operating Assumptions &amp; Proj'!$A$105:$A$174,0),MATCH(Input!J$8,'Operating Assumptions &amp; Proj'!$105:$105,0))</f>
        <v>0</v>
      </c>
      <c r="K21" s="59">
        <f>INDEX('Operating Assumptions &amp; Proj'!$A$105:$K$174,MATCH(Input!$A21,'Operating Assumptions &amp; Proj'!$A$105:$A$174,0),MATCH(Input!K$8,'Operating Assumptions &amp; Proj'!$105:$105,0))</f>
        <v>0</v>
      </c>
    </row>
    <row r="22" spans="1:11" x14ac:dyDescent="0.2">
      <c r="A22" s="5" t="s">
        <v>202</v>
      </c>
      <c r="B22" s="59">
        <f>INDEX('Operating Assumptions &amp; Proj'!$A$105:$K$174,MATCH(Input!$A22,'Operating Assumptions &amp; Proj'!$A$105:$A$174,0),MATCH(Input!B$8,'Operating Assumptions &amp; Proj'!$105:$105,0))</f>
        <v>247</v>
      </c>
      <c r="C22" s="59">
        <f>INDEX('Operating Assumptions &amp; Proj'!$A$105:$K$174,MATCH(Input!$A22,'Operating Assumptions &amp; Proj'!$A$105:$A$174,0),MATCH(Input!C$8,'Operating Assumptions &amp; Proj'!$105:$105,0))</f>
        <v>178</v>
      </c>
      <c r="D22" s="59">
        <f>INDEX('Operating Assumptions &amp; Proj'!$A$105:$K$174,MATCH(Input!$A22,'Operating Assumptions &amp; Proj'!$A$105:$A$174,0),MATCH(Input!D$8,'Operating Assumptions &amp; Proj'!$105:$105,0))</f>
        <v>61</v>
      </c>
      <c r="E22" s="59">
        <f>INDEX('Operating Assumptions &amp; Proj'!$A$105:$K$174,MATCH(Input!$A22,'Operating Assumptions &amp; Proj'!$A$105:$A$174,0),MATCH(Input!E$8,'Operating Assumptions &amp; Proj'!$105:$105,0))</f>
        <v>0</v>
      </c>
      <c r="F22" s="59">
        <f>INDEX('Operating Assumptions &amp; Proj'!$A$105:$K$174,MATCH(Input!$A22,'Operating Assumptions &amp; Proj'!$A$105:$A$174,0),MATCH(Input!F$8,'Operating Assumptions &amp; Proj'!$105:$105,0))</f>
        <v>0</v>
      </c>
      <c r="G22" s="59">
        <f>INDEX('Operating Assumptions &amp; Proj'!$A$105:$K$174,MATCH(Input!$A22,'Operating Assumptions &amp; Proj'!$A$105:$A$174,0),MATCH(Input!G$8,'Operating Assumptions &amp; Proj'!$105:$105,0))</f>
        <v>0</v>
      </c>
      <c r="H22" s="59">
        <f>INDEX('Operating Assumptions &amp; Proj'!$A$105:$K$174,MATCH(Input!$A22,'Operating Assumptions &amp; Proj'!$A$105:$A$174,0),MATCH(Input!H$8,'Operating Assumptions &amp; Proj'!$105:$105,0))</f>
        <v>0</v>
      </c>
      <c r="I22" s="59">
        <f>INDEX('Operating Assumptions &amp; Proj'!$A$105:$K$174,MATCH(Input!$A22,'Operating Assumptions &amp; Proj'!$A$105:$A$174,0),MATCH(Input!I$8,'Operating Assumptions &amp; Proj'!$105:$105,0))</f>
        <v>0</v>
      </c>
      <c r="J22" s="59">
        <f>INDEX('Operating Assumptions &amp; Proj'!$A$105:$K$174,MATCH(Input!$A22,'Operating Assumptions &amp; Proj'!$A$105:$A$174,0),MATCH(Input!J$8,'Operating Assumptions &amp; Proj'!$105:$105,0))</f>
        <v>0</v>
      </c>
      <c r="K22" s="59">
        <f>INDEX('Operating Assumptions &amp; Proj'!$A$105:$K$174,MATCH(Input!$A22,'Operating Assumptions &amp; Proj'!$A$105:$A$174,0),MATCH(Input!K$8,'Operating Assumptions &amp; Proj'!$105:$105,0))</f>
        <v>0</v>
      </c>
    </row>
    <row r="23" spans="1:11" x14ac:dyDescent="0.2">
      <c r="A23" s="5" t="s">
        <v>203</v>
      </c>
      <c r="B23" s="59">
        <f>INDEX('Operating Assumptions &amp; Proj'!$A$105:$K$174,MATCH(Input!$A23,'Operating Assumptions &amp; Proj'!$A$105:$A$174,0),MATCH(Input!B$8,'Operating Assumptions &amp; Proj'!$105:$105,0))</f>
        <v>303</v>
      </c>
      <c r="C23" s="59">
        <f>INDEX('Operating Assumptions &amp; Proj'!$A$105:$K$174,MATCH(Input!$A23,'Operating Assumptions &amp; Proj'!$A$105:$A$174,0),MATCH(Input!C$8,'Operating Assumptions &amp; Proj'!$105:$105,0))</f>
        <v>642</v>
      </c>
      <c r="D23" s="59">
        <f>INDEX('Operating Assumptions &amp; Proj'!$A$105:$K$174,MATCH(Input!$A23,'Operating Assumptions &amp; Proj'!$A$105:$A$174,0),MATCH(Input!D$8,'Operating Assumptions &amp; Proj'!$105:$105,0))</f>
        <v>437</v>
      </c>
      <c r="E23" s="59">
        <f>INDEX('Operating Assumptions &amp; Proj'!$A$105:$K$174,MATCH(Input!$A23,'Operating Assumptions &amp; Proj'!$A$105:$A$174,0),MATCH(Input!E$8,'Operating Assumptions &amp; Proj'!$105:$105,0))</f>
        <v>267</v>
      </c>
      <c r="F23" s="59">
        <f>INDEX('Operating Assumptions &amp; Proj'!$A$105:$K$174,MATCH(Input!$A23,'Operating Assumptions &amp; Proj'!$A$105:$A$174,0),MATCH(Input!F$8,'Operating Assumptions &amp; Proj'!$105:$105,0))</f>
        <v>7838</v>
      </c>
      <c r="G23" s="59">
        <f>INDEX('Operating Assumptions &amp; Proj'!$A$105:$K$174,MATCH(Input!$A23,'Operating Assumptions &amp; Proj'!$A$105:$A$174,0),MATCH(Input!G$8,'Operating Assumptions &amp; Proj'!$105:$105,0))</f>
        <v>222</v>
      </c>
      <c r="H23" s="59">
        <f>INDEX('Operating Assumptions &amp; Proj'!$A$105:$K$174,MATCH(Input!$A23,'Operating Assumptions &amp; Proj'!$A$105:$A$174,0),MATCH(Input!H$8,'Operating Assumptions &amp; Proj'!$105:$105,0))</f>
        <v>222</v>
      </c>
      <c r="I23" s="59">
        <f>INDEX('Operating Assumptions &amp; Proj'!$A$105:$K$174,MATCH(Input!$A23,'Operating Assumptions &amp; Proj'!$A$105:$A$174,0),MATCH(Input!I$8,'Operating Assumptions &amp; Proj'!$105:$105,0))</f>
        <v>244.20000000000002</v>
      </c>
      <c r="J23" s="59">
        <f>INDEX('Operating Assumptions &amp; Proj'!$A$105:$K$174,MATCH(Input!$A23,'Operating Assumptions &amp; Proj'!$A$105:$A$174,0),MATCH(Input!J$8,'Operating Assumptions &amp; Proj'!$105:$105,0))</f>
        <v>268.62000000000006</v>
      </c>
      <c r="K23" s="59">
        <f>INDEX('Operating Assumptions &amp; Proj'!$A$105:$K$174,MATCH(Input!$A23,'Operating Assumptions &amp; Proj'!$A$105:$A$174,0),MATCH(Input!K$8,'Operating Assumptions &amp; Proj'!$105:$105,0))</f>
        <v>295.48200000000008</v>
      </c>
    </row>
    <row r="24" spans="1:11" x14ac:dyDescent="0.2">
      <c r="A24" s="5" t="s">
        <v>204</v>
      </c>
      <c r="B24" s="254">
        <f>INDEX('Operating Assumptions &amp; Proj'!$A$105:$K$174,MATCH(Input!$A24,'Operating Assumptions &amp; Proj'!$A$105:$A$174,0),MATCH(Input!B$8,'Operating Assumptions &amp; Proj'!$105:$105,0))</f>
        <v>13893</v>
      </c>
      <c r="C24" s="254">
        <f>INDEX('Operating Assumptions &amp; Proj'!$A$105:$K$174,MATCH(Input!$A24,'Operating Assumptions &amp; Proj'!$A$105:$A$174,0),MATCH(Input!C$8,'Operating Assumptions &amp; Proj'!$105:$105,0))</f>
        <v>10807</v>
      </c>
      <c r="D24" s="254">
        <f>INDEX('Operating Assumptions &amp; Proj'!$A$105:$K$174,MATCH(Input!$A24,'Operating Assumptions &amp; Proj'!$A$105:$A$174,0),MATCH(Input!D$8,'Operating Assumptions &amp; Proj'!$105:$105,0))</f>
        <v>12189</v>
      </c>
      <c r="E24" s="254">
        <f>INDEX('Operating Assumptions &amp; Proj'!$A$105:$K$174,MATCH(Input!$A24,'Operating Assumptions &amp; Proj'!$A$105:$A$174,0),MATCH(Input!E$8,'Operating Assumptions &amp; Proj'!$105:$105,0))</f>
        <v>12469</v>
      </c>
      <c r="F24" s="254">
        <f>INDEX('Operating Assumptions &amp; Proj'!$A$105:$K$174,MATCH(Input!$A24,'Operating Assumptions &amp; Proj'!$A$105:$A$174,0),MATCH(Input!F$8,'Operating Assumptions &amp; Proj'!$105:$105,0))</f>
        <v>16606</v>
      </c>
      <c r="G24" s="254">
        <f>INDEX('Operating Assumptions &amp; Proj'!$A$105:$K$174,MATCH(Input!$A24,'Operating Assumptions &amp; Proj'!$A$105:$A$174,0),MATCH(Input!G$8,'Operating Assumptions &amp; Proj'!$105:$105,0))</f>
        <v>8856</v>
      </c>
      <c r="H24" s="254">
        <f>INDEX('Operating Assumptions &amp; Proj'!$A$105:$K$174,MATCH(Input!$A24,'Operating Assumptions &amp; Proj'!$A$105:$A$174,0),MATCH(Input!H$8,'Operating Assumptions &amp; Proj'!$105:$105,0))</f>
        <v>7351</v>
      </c>
      <c r="I24" s="254">
        <f>INDEX('Operating Assumptions &amp; Proj'!$A$105:$K$174,MATCH(Input!$A24,'Operating Assumptions &amp; Proj'!$A$105:$A$174,0),MATCH(Input!I$8,'Operating Assumptions &amp; Proj'!$105:$105,0))</f>
        <v>9995.1867745277923</v>
      </c>
      <c r="J24" s="254">
        <f>INDEX('Operating Assumptions &amp; Proj'!$A$105:$K$174,MATCH(Input!$A24,'Operating Assumptions &amp; Proj'!$A$105:$A$174,0),MATCH(Input!J$8,'Operating Assumptions &amp; Proj'!$105:$105,0))</f>
        <v>10792.841382673805</v>
      </c>
      <c r="K24" s="254">
        <f>INDEX('Operating Assumptions &amp; Proj'!$A$105:$K$174,MATCH(Input!$A24,'Operating Assumptions &amp; Proj'!$A$105:$A$174,0),MATCH(Input!K$8,'Operating Assumptions &amp; Proj'!$105:$105,0))</f>
        <v>11643.197996913634</v>
      </c>
    </row>
    <row r="25" spans="1:11" x14ac:dyDescent="0.2">
      <c r="B25" s="59"/>
      <c r="C25" s="59"/>
      <c r="D25" s="59"/>
      <c r="E25" s="59"/>
      <c r="F25" s="59"/>
      <c r="G25" s="59"/>
      <c r="H25" s="59"/>
      <c r="I25" s="59"/>
      <c r="J25" s="59"/>
      <c r="K25" s="59"/>
    </row>
    <row r="26" spans="1:11" x14ac:dyDescent="0.2">
      <c r="A26" s="5" t="s">
        <v>213</v>
      </c>
      <c r="B26" s="59">
        <f>INDEX('Operating Assumptions &amp; Proj'!$A$105:$K$174,MATCH(Input!$A26,'Operating Assumptions &amp; Proj'!$A$105:$A$174,0),MATCH(Input!B$8,'Operating Assumptions &amp; Proj'!$105:$105,0))</f>
        <v>166</v>
      </c>
      <c r="C26" s="59">
        <f>INDEX('Operating Assumptions &amp; Proj'!$A$105:$K$174,MATCH(Input!$A26,'Operating Assumptions &amp; Proj'!$A$105:$A$174,0),MATCH(Input!C$8,'Operating Assumptions &amp; Proj'!$105:$105,0))</f>
        <v>170</v>
      </c>
      <c r="D26" s="59">
        <f>INDEX('Operating Assumptions &amp; Proj'!$A$105:$K$174,MATCH(Input!$A26,'Operating Assumptions &amp; Proj'!$A$105:$A$174,0),MATCH(Input!D$8,'Operating Assumptions &amp; Proj'!$105:$105,0))</f>
        <v>159</v>
      </c>
      <c r="E26" s="59">
        <f>INDEX('Operating Assumptions &amp; Proj'!$A$105:$K$174,MATCH(Input!$A26,'Operating Assumptions &amp; Proj'!$A$105:$A$174,0),MATCH(Input!E$8,'Operating Assumptions &amp; Proj'!$105:$105,0))</f>
        <v>79</v>
      </c>
      <c r="F26" s="59">
        <f>INDEX('Operating Assumptions &amp; Proj'!$A$105:$K$174,MATCH(Input!$A26,'Operating Assumptions &amp; Proj'!$A$105:$A$174,0),MATCH(Input!F$8,'Operating Assumptions &amp; Proj'!$105:$105,0))</f>
        <v>36</v>
      </c>
      <c r="G26" s="59">
        <f>INDEX('Operating Assumptions &amp; Proj'!$A$105:$K$174,MATCH(Input!$A26,'Operating Assumptions &amp; Proj'!$A$105:$A$174,0),MATCH(Input!G$8,'Operating Assumptions &amp; Proj'!$105:$105,0))</f>
        <v>158</v>
      </c>
      <c r="H26" s="59">
        <f>INDEX('Operating Assumptions &amp; Proj'!$A$105:$K$174,MATCH(Input!$A26,'Operating Assumptions &amp; Proj'!$A$105:$A$174,0),MATCH(Input!H$8,'Operating Assumptions &amp; Proj'!$105:$105,0))</f>
        <v>158</v>
      </c>
      <c r="I26" s="59">
        <f>INDEX('Operating Assumptions &amp; Proj'!$A$105:$K$174,MATCH(Input!$A26,'Operating Assumptions &amp; Proj'!$A$105:$A$174,0),MATCH(Input!I$8,'Operating Assumptions &amp; Proj'!$105:$105,0))</f>
        <v>199.19425424657533</v>
      </c>
      <c r="J26" s="59">
        <f>INDEX('Operating Assumptions &amp; Proj'!$A$105:$K$174,MATCH(Input!$A26,'Operating Assumptions &amp; Proj'!$A$105:$A$174,0),MATCH(Input!J$8,'Operating Assumptions &amp; Proj'!$105:$105,0))</f>
        <v>209.31332236230134</v>
      </c>
      <c r="K26" s="59">
        <f>INDEX('Operating Assumptions &amp; Proj'!$A$105:$K$174,MATCH(Input!$A26,'Operating Assumptions &amp; Proj'!$A$105:$A$174,0),MATCH(Input!K$8,'Operating Assumptions &amp; Proj'!$105:$105,0))</f>
        <v>219.94643913830626</v>
      </c>
    </row>
    <row r="27" spans="1:11" ht="17" thickBot="1" x14ac:dyDescent="0.25">
      <c r="A27" s="4" t="s">
        <v>338</v>
      </c>
      <c r="B27" s="253">
        <f t="shared" ref="B27:F27" si="3">B26</f>
        <v>166</v>
      </c>
      <c r="C27" s="253">
        <f t="shared" si="3"/>
        <v>170</v>
      </c>
      <c r="D27" s="253">
        <f t="shared" si="3"/>
        <v>159</v>
      </c>
      <c r="E27" s="253">
        <f t="shared" si="3"/>
        <v>79</v>
      </c>
      <c r="F27" s="253">
        <f t="shared" si="3"/>
        <v>36</v>
      </c>
      <c r="G27" s="253">
        <f>G26</f>
        <v>158</v>
      </c>
      <c r="H27" s="253">
        <f>H26</f>
        <v>158</v>
      </c>
      <c r="I27" s="253">
        <f t="shared" ref="I27:K27" si="4">I26</f>
        <v>199.19425424657533</v>
      </c>
      <c r="J27" s="253">
        <f t="shared" si="4"/>
        <v>209.31332236230134</v>
      </c>
      <c r="K27" s="253">
        <f t="shared" si="4"/>
        <v>219.94643913830626</v>
      </c>
    </row>
    <row r="28" spans="1:11" ht="17" thickTop="1" x14ac:dyDescent="0.2">
      <c r="B28" s="59"/>
      <c r="C28" s="59"/>
      <c r="D28" s="59"/>
      <c r="E28" s="59"/>
      <c r="F28" s="59"/>
      <c r="G28" s="59"/>
      <c r="H28" s="59"/>
      <c r="I28" s="59"/>
      <c r="J28" s="59"/>
      <c r="K28" s="59"/>
    </row>
    <row r="29" spans="1:11" x14ac:dyDescent="0.2">
      <c r="A29" s="5" t="s">
        <v>208</v>
      </c>
      <c r="B29" s="59">
        <f>INDEX('Operating Assumptions &amp; Proj'!$A$105:$K$174,MATCH(Input!$A29,'Operating Assumptions &amp; Proj'!$A$105:$A$174,0),MATCH(Input!B$8,'Operating Assumptions &amp; Proj'!$105:$105,0))</f>
        <v>78</v>
      </c>
      <c r="C29" s="59">
        <f>INDEX('Operating Assumptions &amp; Proj'!$A$105:$K$174,MATCH(Input!$A29,'Operating Assumptions &amp; Proj'!$A$105:$A$174,0),MATCH(Input!C$8,'Operating Assumptions &amp; Proj'!$105:$105,0))</f>
        <v>94</v>
      </c>
      <c r="D29" s="59">
        <f>INDEX('Operating Assumptions &amp; Proj'!$A$105:$K$174,MATCH(Input!$A29,'Operating Assumptions &amp; Proj'!$A$105:$A$174,0),MATCH(Input!D$8,'Operating Assumptions &amp; Proj'!$105:$105,0))</f>
        <v>98</v>
      </c>
      <c r="E29" s="59">
        <f>INDEX('Operating Assumptions &amp; Proj'!$A$105:$K$174,MATCH(Input!$A29,'Operating Assumptions &amp; Proj'!$A$105:$A$174,0),MATCH(Input!E$8,'Operating Assumptions &amp; Proj'!$105:$105,0))</f>
        <v>311</v>
      </c>
      <c r="F29" s="59">
        <f>INDEX('Operating Assumptions &amp; Proj'!$A$105:$K$174,MATCH(Input!$A29,'Operating Assumptions &amp; Proj'!$A$105:$A$174,0),MATCH(Input!F$8,'Operating Assumptions &amp; Proj'!$105:$105,0))</f>
        <v>1648</v>
      </c>
      <c r="G29" s="59">
        <f>INDEX('Operating Assumptions &amp; Proj'!$A$105:$K$174,MATCH(Input!$A29,'Operating Assumptions &amp; Proj'!$A$105:$A$174,0),MATCH(Input!G$8,'Operating Assumptions &amp; Proj'!$105:$105,0))</f>
        <v>1044</v>
      </c>
      <c r="H29" s="59">
        <f>INDEX('Operating Assumptions &amp; Proj'!$A$105:$K$174,MATCH(Input!$A29,'Operating Assumptions &amp; Proj'!$A$105:$A$174,0),MATCH(Input!H$8,'Operating Assumptions &amp; Proj'!$105:$105,0))</f>
        <v>1044</v>
      </c>
      <c r="I29" s="59">
        <f>INDEX('Operating Assumptions &amp; Proj'!$A$105:$K$174,MATCH(Input!$A29,'Operating Assumptions &amp; Proj'!$A$105:$A$174,0),MATCH(Input!I$8,'Operating Assumptions &amp; Proj'!$105:$105,0))</f>
        <v>1044</v>
      </c>
      <c r="J29" s="59">
        <f>INDEX('Operating Assumptions &amp; Proj'!$A$105:$K$174,MATCH(Input!$A29,'Operating Assumptions &amp; Proj'!$A$105:$A$174,0),MATCH(Input!J$8,'Operating Assumptions &amp; Proj'!$105:$105,0))</f>
        <v>1044</v>
      </c>
      <c r="K29" s="59">
        <f>INDEX('Operating Assumptions &amp; Proj'!$A$105:$K$174,MATCH(Input!$A29,'Operating Assumptions &amp; Proj'!$A$105:$A$174,0),MATCH(Input!K$8,'Operating Assumptions &amp; Proj'!$105:$105,0))</f>
        <v>1044</v>
      </c>
    </row>
    <row r="30" spans="1:11" x14ac:dyDescent="0.2">
      <c r="A30" s="5" t="s">
        <v>209</v>
      </c>
      <c r="B30" s="59">
        <f>INDEX('Operating Assumptions &amp; Proj'!$A$105:$K$174,MATCH(Input!$A30,'Operating Assumptions &amp; Proj'!$A$105:$A$174,0),MATCH(Input!B$8,'Operating Assumptions &amp; Proj'!$105:$105,0))</f>
        <v>0</v>
      </c>
      <c r="C30" s="59">
        <f>INDEX('Operating Assumptions &amp; Proj'!$A$105:$K$174,MATCH(Input!$A30,'Operating Assumptions &amp; Proj'!$A$105:$A$174,0),MATCH(Input!C$8,'Operating Assumptions &amp; Proj'!$105:$105,0))</f>
        <v>0</v>
      </c>
      <c r="D30" s="59">
        <f>INDEX('Operating Assumptions &amp; Proj'!$A$105:$K$174,MATCH(Input!$A30,'Operating Assumptions &amp; Proj'!$A$105:$A$174,0),MATCH(Input!D$8,'Operating Assumptions &amp; Proj'!$105:$105,0))</f>
        <v>0</v>
      </c>
      <c r="E30" s="59">
        <f>INDEX('Operating Assumptions &amp; Proj'!$A$105:$K$174,MATCH(Input!$A30,'Operating Assumptions &amp; Proj'!$A$105:$A$174,0),MATCH(Input!E$8,'Operating Assumptions &amp; Proj'!$105:$105,0))</f>
        <v>0</v>
      </c>
      <c r="F30" s="59">
        <f>INDEX('Operating Assumptions &amp; Proj'!$A$105:$K$174,MATCH(Input!$A30,'Operating Assumptions &amp; Proj'!$A$105:$A$174,0),MATCH(Input!F$8,'Operating Assumptions &amp; Proj'!$105:$105,0))</f>
        <v>4128</v>
      </c>
      <c r="G30" s="59">
        <f>INDEX('Operating Assumptions &amp; Proj'!$A$105:$K$174,MATCH(Input!$A30,'Operating Assumptions &amp; Proj'!$A$105:$A$174,0),MATCH(Input!G$8,'Operating Assumptions &amp; Proj'!$105:$105,0))</f>
        <v>4164</v>
      </c>
      <c r="H30" s="59">
        <f>INDEX('Operating Assumptions &amp; Proj'!$A$105:$K$174,MATCH(Input!$A30,'Operating Assumptions &amp; Proj'!$A$105:$A$174,0),MATCH(Input!H$8,'Operating Assumptions &amp; Proj'!$105:$105,0))</f>
        <v>52510</v>
      </c>
      <c r="I30" s="59">
        <f>INDEX('Operating Assumptions &amp; Proj'!$A$105:$K$174,MATCH(Input!$A30,'Operating Assumptions &amp; Proj'!$A$105:$A$174,0),MATCH(Input!I$8,'Operating Assumptions &amp; Proj'!$105:$105,0))</f>
        <v>52510</v>
      </c>
      <c r="J30" s="59">
        <f>INDEX('Operating Assumptions &amp; Proj'!$A$105:$K$174,MATCH(Input!$A30,'Operating Assumptions &amp; Proj'!$A$105:$A$174,0),MATCH(Input!J$8,'Operating Assumptions &amp; Proj'!$105:$105,0))</f>
        <v>52510</v>
      </c>
      <c r="K30" s="59">
        <f>INDEX('Operating Assumptions &amp; Proj'!$A$105:$K$174,MATCH(Input!$A30,'Operating Assumptions &amp; Proj'!$A$105:$A$174,0),MATCH(Input!K$8,'Operating Assumptions &amp; Proj'!$105:$105,0))</f>
        <v>52510</v>
      </c>
    </row>
    <row r="31" spans="1:11" x14ac:dyDescent="0.2">
      <c r="A31" s="5" t="s">
        <v>210</v>
      </c>
      <c r="B31" s="59">
        <f>INDEX('Operating Assumptions &amp; Proj'!$A$105:$K$174,MATCH(Input!$A31,'Operating Assumptions &amp; Proj'!$A$105:$A$174,0),MATCH(Input!B$8,'Operating Assumptions &amp; Proj'!$105:$105,0))</f>
        <v>4876</v>
      </c>
      <c r="C31" s="59">
        <f>INDEX('Operating Assumptions &amp; Proj'!$A$105:$K$174,MATCH(Input!$A31,'Operating Assumptions &amp; Proj'!$A$105:$A$174,0),MATCH(Input!C$8,'Operating Assumptions &amp; Proj'!$105:$105,0))</f>
        <v>4782</v>
      </c>
      <c r="D31" s="59">
        <f>INDEX('Operating Assumptions &amp; Proj'!$A$105:$K$174,MATCH(Input!$A31,'Operating Assumptions &amp; Proj'!$A$105:$A$174,0),MATCH(Input!D$8,'Operating Assumptions &amp; Proj'!$105:$105,0))</f>
        <v>4731</v>
      </c>
      <c r="E31" s="59">
        <f>INDEX('Operating Assumptions &amp; Proj'!$A$105:$K$174,MATCH(Input!$A31,'Operating Assumptions &amp; Proj'!$A$105:$A$174,0),MATCH(Input!E$8,'Operating Assumptions &amp; Proj'!$105:$105,0))</f>
        <v>4752</v>
      </c>
      <c r="F31" s="59">
        <f>INDEX('Operating Assumptions &amp; Proj'!$A$105:$K$174,MATCH(Input!$A31,'Operating Assumptions &amp; Proj'!$A$105:$A$174,0),MATCH(Input!F$8,'Operating Assumptions &amp; Proj'!$105:$105,0))</f>
        <v>938</v>
      </c>
      <c r="G31" s="59">
        <f>INDEX('Operating Assumptions &amp; Proj'!$A$105:$K$174,MATCH(Input!$A31,'Operating Assumptions &amp; Proj'!$A$105:$A$174,0),MATCH(Input!G$8,'Operating Assumptions &amp; Proj'!$105:$105,0))</f>
        <v>923</v>
      </c>
      <c r="H31" s="59">
        <f>INDEX('Operating Assumptions &amp; Proj'!$A$105:$K$174,MATCH(Input!$A31,'Operating Assumptions &amp; Proj'!$A$105:$A$174,0),MATCH(Input!H$8,'Operating Assumptions &amp; Proj'!$105:$105,0))</f>
        <v>923</v>
      </c>
      <c r="I31" s="59">
        <f>INDEX('Operating Assumptions &amp; Proj'!$A$105:$K$174,MATCH(Input!$A31,'Operating Assumptions &amp; Proj'!$A$105:$A$174,0),MATCH(Input!I$8,'Operating Assumptions &amp; Proj'!$105:$105,0))</f>
        <v>923</v>
      </c>
      <c r="J31" s="59">
        <f>INDEX('Operating Assumptions &amp; Proj'!$A$105:$K$174,MATCH(Input!$A31,'Operating Assumptions &amp; Proj'!$A$105:$A$174,0),MATCH(Input!J$8,'Operating Assumptions &amp; Proj'!$105:$105,0))</f>
        <v>923</v>
      </c>
      <c r="K31" s="59">
        <f>INDEX('Operating Assumptions &amp; Proj'!$A$105:$K$174,MATCH(Input!$A31,'Operating Assumptions &amp; Proj'!$A$105:$A$174,0),MATCH(Input!K$8,'Operating Assumptions &amp; Proj'!$105:$105,0))</f>
        <v>923</v>
      </c>
    </row>
    <row r="32" spans="1:11" x14ac:dyDescent="0.2">
      <c r="A32" s="5" t="s">
        <v>211</v>
      </c>
      <c r="B32" s="59">
        <f>INDEX('Operating Assumptions &amp; Proj'!$A$105:$K$174,MATCH(Input!$A32,'Operating Assumptions &amp; Proj'!$A$105:$A$174,0),MATCH(Input!B$8,'Operating Assumptions &amp; Proj'!$105:$105,0))</f>
        <v>4171</v>
      </c>
      <c r="C32" s="59">
        <f>INDEX('Operating Assumptions &amp; Proj'!$A$105:$K$174,MATCH(Input!$A32,'Operating Assumptions &amp; Proj'!$A$105:$A$174,0),MATCH(Input!C$8,'Operating Assumptions &amp; Proj'!$105:$105,0))</f>
        <v>3309</v>
      </c>
      <c r="D32" s="59">
        <f>INDEX('Operating Assumptions &amp; Proj'!$A$105:$K$174,MATCH(Input!$A32,'Operating Assumptions &amp; Proj'!$A$105:$A$174,0),MATCH(Input!D$8,'Operating Assumptions &amp; Proj'!$105:$105,0))</f>
        <v>3141</v>
      </c>
      <c r="E32" s="59">
        <f>INDEX('Operating Assumptions &amp; Proj'!$A$105:$K$174,MATCH(Input!$A32,'Operating Assumptions &amp; Proj'!$A$105:$A$174,0),MATCH(Input!E$8,'Operating Assumptions &amp; Proj'!$105:$105,0))</f>
        <v>3029</v>
      </c>
      <c r="F32" s="59">
        <f>INDEX('Operating Assumptions &amp; Proj'!$A$105:$K$174,MATCH(Input!$A32,'Operating Assumptions &amp; Proj'!$A$105:$A$174,0),MATCH(Input!F$8,'Operating Assumptions &amp; Proj'!$105:$105,0))</f>
        <v>0</v>
      </c>
      <c r="G32" s="59">
        <f>INDEX('Operating Assumptions &amp; Proj'!$A$105:$K$174,MATCH(Input!$A32,'Operating Assumptions &amp; Proj'!$A$105:$A$174,0),MATCH(Input!G$8,'Operating Assumptions &amp; Proj'!$105:$105,0))</f>
        <v>0</v>
      </c>
      <c r="H32" s="59">
        <f>INDEX('Operating Assumptions &amp; Proj'!$A$105:$K$174,MATCH(Input!$A32,'Operating Assumptions &amp; Proj'!$A$105:$A$174,0),MATCH(Input!H$8,'Operating Assumptions &amp; Proj'!$105:$105,0))</f>
        <v>0</v>
      </c>
      <c r="I32" s="59">
        <f>INDEX('Operating Assumptions &amp; Proj'!$A$105:$K$174,MATCH(Input!$A32,'Operating Assumptions &amp; Proj'!$A$105:$A$174,0),MATCH(Input!I$8,'Operating Assumptions &amp; Proj'!$105:$105,0))</f>
        <v>0</v>
      </c>
      <c r="J32" s="59">
        <f>INDEX('Operating Assumptions &amp; Proj'!$A$105:$K$174,MATCH(Input!$A32,'Operating Assumptions &amp; Proj'!$A$105:$A$174,0),MATCH(Input!J$8,'Operating Assumptions &amp; Proj'!$105:$105,0))</f>
        <v>0</v>
      </c>
      <c r="K32" s="59">
        <f>INDEX('Operating Assumptions &amp; Proj'!$A$105:$K$174,MATCH(Input!$A32,'Operating Assumptions &amp; Proj'!$A$105:$A$174,0),MATCH(Input!K$8,'Operating Assumptions &amp; Proj'!$105:$105,0))</f>
        <v>0</v>
      </c>
    </row>
    <row r="33" spans="1:11" x14ac:dyDescent="0.2">
      <c r="A33" s="5" t="s">
        <v>212</v>
      </c>
      <c r="B33" s="59">
        <f>INDEX('Operating Assumptions &amp; Proj'!$A$105:$K$174,MATCH(Input!$A33,'Operating Assumptions &amp; Proj'!$A$105:$A$174,0),MATCH(Input!B$8,'Operating Assumptions &amp; Proj'!$105:$105,0))</f>
        <v>1943</v>
      </c>
      <c r="C33" s="59">
        <f>INDEX('Operating Assumptions &amp; Proj'!$A$105:$K$174,MATCH(Input!$A33,'Operating Assumptions &amp; Proj'!$A$105:$A$174,0),MATCH(Input!C$8,'Operating Assumptions &amp; Proj'!$105:$105,0))</f>
        <v>1537</v>
      </c>
      <c r="D33" s="59">
        <f>INDEX('Operating Assumptions &amp; Proj'!$A$105:$K$174,MATCH(Input!$A33,'Operating Assumptions &amp; Proj'!$A$105:$A$174,0),MATCH(Input!D$8,'Operating Assumptions &amp; Proj'!$105:$105,0))</f>
        <v>2129</v>
      </c>
      <c r="E33" s="59">
        <f>INDEX('Operating Assumptions &amp; Proj'!$A$105:$K$174,MATCH(Input!$A33,'Operating Assumptions &amp; Proj'!$A$105:$A$174,0),MATCH(Input!E$8,'Operating Assumptions &amp; Proj'!$105:$105,0))</f>
        <v>1889</v>
      </c>
      <c r="F33" s="59">
        <f>INDEX('Operating Assumptions &amp; Proj'!$A$105:$K$174,MATCH(Input!$A33,'Operating Assumptions &amp; Proj'!$A$105:$A$174,0),MATCH(Input!F$8,'Operating Assumptions &amp; Proj'!$105:$105,0))</f>
        <v>0</v>
      </c>
      <c r="G33" s="59">
        <f>INDEX('Operating Assumptions &amp; Proj'!$A$105:$K$174,MATCH(Input!$A33,'Operating Assumptions &amp; Proj'!$A$105:$A$174,0),MATCH(Input!G$8,'Operating Assumptions &amp; Proj'!$105:$105,0))</f>
        <v>0</v>
      </c>
      <c r="H33" s="59">
        <f>INDEX('Operating Assumptions &amp; Proj'!$A$105:$K$174,MATCH(Input!$A33,'Operating Assumptions &amp; Proj'!$A$105:$A$174,0),MATCH(Input!H$8,'Operating Assumptions &amp; Proj'!$105:$105,0))</f>
        <v>0</v>
      </c>
      <c r="I33" s="59">
        <f>INDEX('Operating Assumptions &amp; Proj'!$A$105:$K$174,MATCH(Input!$A33,'Operating Assumptions &amp; Proj'!$A$105:$A$174,0),MATCH(Input!I$8,'Operating Assumptions &amp; Proj'!$105:$105,0))</f>
        <v>0</v>
      </c>
      <c r="J33" s="59">
        <f>INDEX('Operating Assumptions &amp; Proj'!$A$105:$K$174,MATCH(Input!$A33,'Operating Assumptions &amp; Proj'!$A$105:$A$174,0),MATCH(Input!J$8,'Operating Assumptions &amp; Proj'!$105:$105,0))</f>
        <v>0</v>
      </c>
      <c r="K33" s="59">
        <f>INDEX('Operating Assumptions &amp; Proj'!$A$105:$K$174,MATCH(Input!$A33,'Operating Assumptions &amp; Proj'!$A$105:$A$174,0),MATCH(Input!K$8,'Operating Assumptions &amp; Proj'!$105:$105,0))</f>
        <v>0</v>
      </c>
    </row>
    <row r="34" spans="1:11" x14ac:dyDescent="0.2">
      <c r="A34" s="5" t="s">
        <v>216</v>
      </c>
      <c r="B34" s="59">
        <f>INDEX('Operating Assumptions &amp; Proj'!$A$105:$K$174,MATCH(Input!$A34,'Operating Assumptions &amp; Proj'!$A$105:$A$174,0),MATCH(Input!B$8,'Operating Assumptions &amp; Proj'!$105:$105,0))</f>
        <v>2356</v>
      </c>
      <c r="C34" s="59">
        <f>INDEX('Operating Assumptions &amp; Proj'!$A$105:$K$174,MATCH(Input!$A34,'Operating Assumptions &amp; Proj'!$A$105:$A$174,0),MATCH(Input!C$8,'Operating Assumptions &amp; Proj'!$105:$105,0))</f>
        <v>1444</v>
      </c>
      <c r="D34" s="59">
        <f>INDEX('Operating Assumptions &amp; Proj'!$A$105:$K$174,MATCH(Input!$A34,'Operating Assumptions &amp; Proj'!$A$105:$A$174,0),MATCH(Input!D$8,'Operating Assumptions &amp; Proj'!$105:$105,0))</f>
        <v>4114</v>
      </c>
      <c r="E34" s="59">
        <f>INDEX('Operating Assumptions &amp; Proj'!$A$105:$K$174,MATCH(Input!$A34,'Operating Assumptions &amp; Proj'!$A$105:$A$174,0),MATCH(Input!E$8,'Operating Assumptions &amp; Proj'!$105:$105,0))</f>
        <v>903</v>
      </c>
      <c r="F34" s="59">
        <f>INDEX('Operating Assumptions &amp; Proj'!$A$105:$K$174,MATCH(Input!$A34,'Operating Assumptions &amp; Proj'!$A$105:$A$174,0),MATCH(Input!F$8,'Operating Assumptions &amp; Proj'!$105:$105,0))</f>
        <v>952</v>
      </c>
      <c r="G34" s="59">
        <f>INDEX('Operating Assumptions &amp; Proj'!$A$105:$K$174,MATCH(Input!$A34,'Operating Assumptions &amp; Proj'!$A$105:$A$174,0),MATCH(Input!G$8,'Operating Assumptions &amp; Proj'!$105:$105,0))</f>
        <v>867</v>
      </c>
      <c r="H34" s="59">
        <f>INDEX('Operating Assumptions &amp; Proj'!$A$105:$K$174,MATCH(Input!$A34,'Operating Assumptions &amp; Proj'!$A$105:$A$174,0),MATCH(Input!H$8,'Operating Assumptions &amp; Proj'!$105:$105,0))</f>
        <v>867</v>
      </c>
      <c r="I34" s="59">
        <f>INDEX('Operating Assumptions &amp; Proj'!$A$105:$K$174,MATCH(Input!$A34,'Operating Assumptions &amp; Proj'!$A$105:$A$174,0),MATCH(Input!I$8,'Operating Assumptions &amp; Proj'!$105:$105,0))</f>
        <v>953.7</v>
      </c>
      <c r="J34" s="59">
        <f>INDEX('Operating Assumptions &amp; Proj'!$A$105:$K$174,MATCH(Input!$A34,'Operating Assumptions &amp; Proj'!$A$105:$A$174,0),MATCH(Input!J$8,'Operating Assumptions &amp; Proj'!$105:$105,0))</f>
        <v>1049.0700000000002</v>
      </c>
      <c r="K34" s="59">
        <f>INDEX('Operating Assumptions &amp; Proj'!$A$105:$K$174,MATCH(Input!$A34,'Operating Assumptions &amp; Proj'!$A$105:$A$174,0),MATCH(Input!K$8,'Operating Assumptions &amp; Proj'!$105:$105,0))</f>
        <v>1153.9770000000003</v>
      </c>
    </row>
    <row r="35" spans="1:11" x14ac:dyDescent="0.2">
      <c r="A35" s="5" t="s">
        <v>217</v>
      </c>
      <c r="B35" s="254">
        <f>INDEX('Operating Assumptions &amp; Proj'!$A$105:$K$174,MATCH(Input!$A35,'Operating Assumptions &amp; Proj'!$A$105:$A$174,0),MATCH(Input!B$8,'Operating Assumptions &amp; Proj'!$105:$105,0))</f>
        <v>53147</v>
      </c>
      <c r="C35" s="254">
        <f>INDEX('Operating Assumptions &amp; Proj'!$A$105:$K$174,MATCH(Input!$A35,'Operating Assumptions &amp; Proj'!$A$105:$A$174,0),MATCH(Input!C$8,'Operating Assumptions &amp; Proj'!$105:$105,0))</f>
        <v>45512</v>
      </c>
      <c r="D35" s="254">
        <f>INDEX('Operating Assumptions &amp; Proj'!$A$105:$K$174,MATCH(Input!$A35,'Operating Assumptions &amp; Proj'!$A$105:$A$174,0),MATCH(Input!D$8,'Operating Assumptions &amp; Proj'!$105:$105,0))</f>
        <v>49351</v>
      </c>
      <c r="E35" s="254">
        <f>INDEX('Operating Assumptions &amp; Proj'!$A$105:$K$174,MATCH(Input!$A35,'Operating Assumptions &amp; Proj'!$A$105:$A$174,0),MATCH(Input!E$8,'Operating Assumptions &amp; Proj'!$105:$105,0))</f>
        <v>45868</v>
      </c>
      <c r="F35" s="254">
        <f>INDEX('Operating Assumptions &amp; Proj'!$A$105:$K$174,MATCH(Input!$A35,'Operating Assumptions &amp; Proj'!$A$105:$A$174,0),MATCH(Input!F$8,'Operating Assumptions &amp; Proj'!$105:$105,0))</f>
        <v>47039</v>
      </c>
      <c r="G35" s="254">
        <f>INDEX('Operating Assumptions &amp; Proj'!$A$105:$K$174,MATCH(Input!$A35,'Operating Assumptions &amp; Proj'!$A$105:$A$174,0),MATCH(Input!G$8,'Operating Assumptions &amp; Proj'!$105:$105,0))</f>
        <v>38890</v>
      </c>
      <c r="H35" s="254">
        <f>INDEX('Operating Assumptions &amp; Proj'!$A$105:$K$174,MATCH(Input!$A35,'Operating Assumptions &amp; Proj'!$A$105:$A$174,0),MATCH(Input!H$8,'Operating Assumptions &amp; Proj'!$105:$105,0))</f>
        <v>85731</v>
      </c>
      <c r="I35" s="254">
        <f>INDEX('Operating Assumptions &amp; Proj'!$A$105:$K$174,MATCH(Input!$A35,'Operating Assumptions &amp; Proj'!$A$105:$A$174,0),MATCH(Input!I$8,'Operating Assumptions &amp; Proj'!$105:$105,0))</f>
        <v>88254.538228774356</v>
      </c>
      <c r="J35" s="254">
        <f>INDEX('Operating Assumptions &amp; Proj'!$A$105:$K$174,MATCH(Input!$A35,'Operating Assumptions &amp; Proj'!$A$105:$A$174,0),MATCH(Input!J$8,'Operating Assumptions &amp; Proj'!$105:$105,0))</f>
        <v>88896.744370796107</v>
      </c>
      <c r="K35" s="254">
        <f>INDEX('Operating Assumptions &amp; Proj'!$A$105:$K$174,MATCH(Input!$A35,'Operating Assumptions &amp; Proj'!$A$105:$A$174,0),MATCH(Input!K$8,'Operating Assumptions &amp; Proj'!$105:$105,0))</f>
        <v>89588.70230483255</v>
      </c>
    </row>
    <row r="36" spans="1:11" x14ac:dyDescent="0.2">
      <c r="B36" s="59"/>
      <c r="C36" s="59"/>
      <c r="D36" s="59"/>
      <c r="E36" s="59"/>
      <c r="F36" s="59"/>
      <c r="G36" s="59"/>
      <c r="H36" s="59"/>
      <c r="I36" s="59"/>
      <c r="J36" s="59"/>
      <c r="K36" s="59"/>
    </row>
    <row r="37" spans="1:11" x14ac:dyDescent="0.2">
      <c r="A37" s="5" t="s">
        <v>221</v>
      </c>
      <c r="B37" s="59">
        <f>INDEX('Operating Assumptions &amp; Proj'!$A$105:$K$174,MATCH(Input!$A37,'Operating Assumptions &amp; Proj'!$A$105:$A$174,0),MATCH(Input!B$8,'Operating Assumptions &amp; Proj'!$105:$105,0))</f>
        <v>1142</v>
      </c>
      <c r="C37" s="59">
        <f>INDEX('Operating Assumptions &amp; Proj'!$A$105:$K$174,MATCH(Input!$A37,'Operating Assumptions &amp; Proj'!$A$105:$A$174,0),MATCH(Input!C$8,'Operating Assumptions &amp; Proj'!$105:$105,0))</f>
        <v>559</v>
      </c>
      <c r="D37" s="59">
        <f>INDEX('Operating Assumptions &amp; Proj'!$A$105:$K$174,MATCH(Input!$A37,'Operating Assumptions &amp; Proj'!$A$105:$A$174,0),MATCH(Input!D$8,'Operating Assumptions &amp; Proj'!$105:$105,0))</f>
        <v>605</v>
      </c>
      <c r="E37" s="59">
        <f>INDEX('Operating Assumptions &amp; Proj'!$A$105:$K$174,MATCH(Input!$A37,'Operating Assumptions &amp; Proj'!$A$105:$A$174,0),MATCH(Input!E$8,'Operating Assumptions &amp; Proj'!$105:$105,0))</f>
        <v>928</v>
      </c>
      <c r="F37" s="59">
        <f>INDEX('Operating Assumptions &amp; Proj'!$A$105:$K$174,MATCH(Input!$A37,'Operating Assumptions &amp; Proj'!$A$105:$A$174,0),MATCH(Input!F$8,'Operating Assumptions &amp; Proj'!$105:$105,0))</f>
        <v>838</v>
      </c>
      <c r="G37" s="59">
        <f>INDEX('Operating Assumptions &amp; Proj'!$A$105:$K$174,MATCH(Input!$A37,'Operating Assumptions &amp; Proj'!$A$105:$A$174,0),MATCH(Input!G$8,'Operating Assumptions &amp; Proj'!$105:$105,0))</f>
        <v>882</v>
      </c>
      <c r="H37" s="59">
        <f>INDEX('Operating Assumptions &amp; Proj'!$A$105:$K$174,MATCH(Input!$A37,'Operating Assumptions &amp; Proj'!$A$105:$A$174,0),MATCH(Input!H$8,'Operating Assumptions &amp; Proj'!$105:$105,0))</f>
        <v>16738</v>
      </c>
      <c r="I37" s="59">
        <f>INDEX('Operating Assumptions &amp; Proj'!$A$105:$K$174,MATCH(Input!$A37,'Operating Assumptions &amp; Proj'!$A$105:$A$174,0),MATCH(Input!I$8,'Operating Assumptions &amp; Proj'!$105:$105,0))</f>
        <v>16478</v>
      </c>
      <c r="J37" s="59">
        <f>INDEX('Operating Assumptions &amp; Proj'!$A$105:$K$174,MATCH(Input!$A37,'Operating Assumptions &amp; Proj'!$A$105:$A$174,0),MATCH(Input!J$8,'Operating Assumptions &amp; Proj'!$105:$105,0))</f>
        <v>16395</v>
      </c>
      <c r="K37" s="59">
        <f>INDEX('Operating Assumptions &amp; Proj'!$A$105:$K$174,MATCH(Input!$A37,'Operating Assumptions &amp; Proj'!$A$105:$A$174,0),MATCH(Input!K$8,'Operating Assumptions &amp; Proj'!$105:$105,0))</f>
        <v>16389</v>
      </c>
    </row>
    <row r="38" spans="1:11" x14ac:dyDescent="0.2">
      <c r="A38" s="5" t="s">
        <v>222</v>
      </c>
      <c r="B38" s="59">
        <f>INDEX('Operating Assumptions &amp; Proj'!$A$105:$K$174,MATCH(Input!$A38,'Operating Assumptions &amp; Proj'!$A$105:$A$174,0),MATCH(Input!B$8,'Operating Assumptions &amp; Proj'!$105:$105,0))</f>
        <v>1077</v>
      </c>
      <c r="C38" s="59">
        <f>INDEX('Operating Assumptions &amp; Proj'!$A$105:$K$174,MATCH(Input!$A38,'Operating Assumptions &amp; Proj'!$A$105:$A$174,0),MATCH(Input!C$8,'Operating Assumptions &amp; Proj'!$105:$105,0))</f>
        <v>521</v>
      </c>
      <c r="D38" s="59">
        <f>INDEX('Operating Assumptions &amp; Proj'!$A$105:$K$174,MATCH(Input!$A38,'Operating Assumptions &amp; Proj'!$A$105:$A$174,0),MATCH(Input!D$8,'Operating Assumptions &amp; Proj'!$105:$105,0))</f>
        <v>120</v>
      </c>
      <c r="E38" s="59">
        <f>INDEX('Operating Assumptions &amp; Proj'!$A$105:$K$174,MATCH(Input!$A38,'Operating Assumptions &amp; Proj'!$A$105:$A$174,0),MATCH(Input!E$8,'Operating Assumptions &amp; Proj'!$105:$105,0))</f>
        <v>842</v>
      </c>
      <c r="F38" s="59">
        <f>INDEX('Operating Assumptions &amp; Proj'!$A$105:$K$174,MATCH(Input!$A38,'Operating Assumptions &amp; Proj'!$A$105:$A$174,0),MATCH(Input!F$8,'Operating Assumptions &amp; Proj'!$105:$105,0))</f>
        <v>698</v>
      </c>
      <c r="G38" s="59">
        <f>INDEX('Operating Assumptions &amp; Proj'!$A$105:$K$174,MATCH(Input!$A38,'Operating Assumptions &amp; Proj'!$A$105:$A$174,0),MATCH(Input!G$8,'Operating Assumptions &amp; Proj'!$105:$105,0))</f>
        <v>979</v>
      </c>
      <c r="H38" s="59">
        <f>INDEX('Operating Assumptions &amp; Proj'!$A$105:$K$174,MATCH(Input!$A38,'Operating Assumptions &amp; Proj'!$A$105:$A$174,0),MATCH(Input!H$8,'Operating Assumptions &amp; Proj'!$105:$105,0))</f>
        <v>6002.6</v>
      </c>
      <c r="I38" s="59">
        <f>INDEX('Operating Assumptions &amp; Proj'!$A$105:$K$174,MATCH(Input!$A38,'Operating Assumptions &amp; Proj'!$A$105:$A$174,0),MATCH(Input!I$8,'Operating Assumptions &amp; Proj'!$105:$105,0))</f>
        <v>6002.6</v>
      </c>
      <c r="J38" s="59">
        <f>INDEX('Operating Assumptions &amp; Proj'!$A$105:$K$174,MATCH(Input!$A38,'Operating Assumptions &amp; Proj'!$A$105:$A$174,0),MATCH(Input!J$8,'Operating Assumptions &amp; Proj'!$105:$105,0))</f>
        <v>6002.6</v>
      </c>
      <c r="K38" s="59">
        <f>INDEX('Operating Assumptions &amp; Proj'!$A$105:$K$174,MATCH(Input!$A38,'Operating Assumptions &amp; Proj'!$A$105:$A$174,0),MATCH(Input!K$8,'Operating Assumptions &amp; Proj'!$105:$105,0))</f>
        <v>6002.6</v>
      </c>
    </row>
    <row r="39" spans="1:11" x14ac:dyDescent="0.2">
      <c r="A39" s="5" t="s">
        <v>224</v>
      </c>
      <c r="B39" s="59">
        <f>INDEX('Operating Assumptions &amp; Proj'!$A$105:$K$174,MATCH(Input!$A39,'Operating Assumptions &amp; Proj'!$A$105:$A$174,0),MATCH(Input!B$8,'Operating Assumptions &amp; Proj'!$105:$105,0))</f>
        <v>0</v>
      </c>
      <c r="C39" s="59">
        <f>INDEX('Operating Assumptions &amp; Proj'!$A$105:$K$174,MATCH(Input!$A39,'Operating Assumptions &amp; Proj'!$A$105:$A$174,0),MATCH(Input!C$8,'Operating Assumptions &amp; Proj'!$105:$105,0))</f>
        <v>0</v>
      </c>
      <c r="D39" s="59">
        <f>INDEX('Operating Assumptions &amp; Proj'!$A$105:$K$174,MATCH(Input!$A39,'Operating Assumptions &amp; Proj'!$A$105:$A$174,0),MATCH(Input!D$8,'Operating Assumptions &amp; Proj'!$105:$105,0))</f>
        <v>0</v>
      </c>
      <c r="E39" s="59">
        <f>INDEX('Operating Assumptions &amp; Proj'!$A$105:$K$174,MATCH(Input!$A39,'Operating Assumptions &amp; Proj'!$A$105:$A$174,0),MATCH(Input!E$8,'Operating Assumptions &amp; Proj'!$105:$105,0))</f>
        <v>0</v>
      </c>
      <c r="F39" s="59">
        <f>INDEX('Operating Assumptions &amp; Proj'!$A$105:$K$174,MATCH(Input!$A39,'Operating Assumptions &amp; Proj'!$A$105:$A$174,0),MATCH(Input!F$8,'Operating Assumptions &amp; Proj'!$105:$105,0))</f>
        <v>0</v>
      </c>
      <c r="G39" s="59">
        <f>INDEX('Operating Assumptions &amp; Proj'!$A$105:$K$174,MATCH(Input!$A39,'Operating Assumptions &amp; Proj'!$A$105:$A$174,0),MATCH(Input!G$8,'Operating Assumptions &amp; Proj'!$105:$105,0))</f>
        <v>0</v>
      </c>
      <c r="H39" s="59">
        <f>INDEX('Operating Assumptions &amp; Proj'!$A$105:$K$174,MATCH(Input!$A39,'Operating Assumptions &amp; Proj'!$A$105:$A$174,0),MATCH(Input!H$8,'Operating Assumptions &amp; Proj'!$105:$105,0))</f>
        <v>0</v>
      </c>
      <c r="I39" s="59">
        <f>INDEX('Operating Assumptions &amp; Proj'!$A$105:$K$174,MATCH(Input!$A39,'Operating Assumptions &amp; Proj'!$A$105:$A$174,0),MATCH(Input!I$8,'Operating Assumptions &amp; Proj'!$105:$105,0))</f>
        <v>0</v>
      </c>
      <c r="J39" s="59">
        <f>INDEX('Operating Assumptions &amp; Proj'!$A$105:$K$174,MATCH(Input!$A39,'Operating Assumptions &amp; Proj'!$A$105:$A$174,0),MATCH(Input!J$8,'Operating Assumptions &amp; Proj'!$105:$105,0))</f>
        <v>0</v>
      </c>
      <c r="K39" s="59">
        <f>INDEX('Operating Assumptions &amp; Proj'!$A$105:$K$174,MATCH(Input!$A39,'Operating Assumptions &amp; Proj'!$A$105:$A$174,0),MATCH(Input!K$8,'Operating Assumptions &amp; Proj'!$105:$105,0))</f>
        <v>0</v>
      </c>
    </row>
    <row r="40" spans="1:11" s="4" customFormat="1" ht="17" thickBot="1" x14ac:dyDescent="0.25">
      <c r="A40" s="4" t="s">
        <v>339</v>
      </c>
      <c r="B40" s="253">
        <f t="shared" ref="B40:H40" si="5">SUM(B37:B39)</f>
        <v>2219</v>
      </c>
      <c r="C40" s="253">
        <f t="shared" si="5"/>
        <v>1080</v>
      </c>
      <c r="D40" s="253">
        <f t="shared" si="5"/>
        <v>725</v>
      </c>
      <c r="E40" s="253">
        <f t="shared" si="5"/>
        <v>1770</v>
      </c>
      <c r="F40" s="253">
        <f t="shared" si="5"/>
        <v>1536</v>
      </c>
      <c r="G40" s="253">
        <f t="shared" si="5"/>
        <v>1861</v>
      </c>
      <c r="H40" s="253">
        <f t="shared" si="5"/>
        <v>22740.6</v>
      </c>
      <c r="I40" s="253">
        <f t="shared" ref="I40:K40" si="6">SUM(I37:I39)</f>
        <v>22480.6</v>
      </c>
      <c r="J40" s="253">
        <f t="shared" si="6"/>
        <v>22397.599999999999</v>
      </c>
      <c r="K40" s="253">
        <f t="shared" si="6"/>
        <v>22391.599999999999</v>
      </c>
    </row>
    <row r="41" spans="1:11" ht="17" thickTop="1" x14ac:dyDescent="0.2">
      <c r="B41" s="59"/>
      <c r="C41" s="59"/>
      <c r="D41" s="59"/>
      <c r="E41" s="59"/>
      <c r="F41" s="59"/>
      <c r="G41" s="59"/>
      <c r="H41" s="59"/>
      <c r="I41" s="59"/>
      <c r="J41" s="59"/>
      <c r="K41" s="59"/>
    </row>
    <row r="42" spans="1:11" x14ac:dyDescent="0.2">
      <c r="A42" s="5" t="s">
        <v>223</v>
      </c>
      <c r="B42" s="59">
        <f>INDEX('Operating Assumptions &amp; Proj'!$A$105:$K$174,MATCH(Input!$A42,'Operating Assumptions &amp; Proj'!$A$105:$A$174,0),MATCH(Input!B$8,'Operating Assumptions &amp; Proj'!$105:$105,0))</f>
        <v>598</v>
      </c>
      <c r="C42" s="59">
        <f>INDEX('Operating Assumptions &amp; Proj'!$A$105:$K$174,MATCH(Input!$A42,'Operating Assumptions &amp; Proj'!$A$105:$A$174,0),MATCH(Input!C$8,'Operating Assumptions &amp; Proj'!$105:$105,0))</f>
        <v>575</v>
      </c>
      <c r="D42" s="59">
        <f>INDEX('Operating Assumptions &amp; Proj'!$A$105:$K$174,MATCH(Input!$A42,'Operating Assumptions &amp; Proj'!$A$105:$A$174,0),MATCH(Input!D$8,'Operating Assumptions &amp; Proj'!$105:$105,0))</f>
        <v>547</v>
      </c>
      <c r="E42" s="59">
        <f>INDEX('Operating Assumptions &amp; Proj'!$A$105:$K$174,MATCH(Input!$A42,'Operating Assumptions &amp; Proj'!$A$105:$A$174,0),MATCH(Input!E$8,'Operating Assumptions &amp; Proj'!$105:$105,0))</f>
        <v>595</v>
      </c>
      <c r="F42" s="59">
        <f>INDEX('Operating Assumptions &amp; Proj'!$A$105:$K$174,MATCH(Input!$A42,'Operating Assumptions &amp; Proj'!$A$105:$A$174,0),MATCH(Input!F$8,'Operating Assumptions &amp; Proj'!$105:$105,0))</f>
        <v>584</v>
      </c>
      <c r="G42" s="59">
        <f>INDEX('Operating Assumptions &amp; Proj'!$A$105:$K$174,MATCH(Input!$A42,'Operating Assumptions &amp; Proj'!$A$105:$A$174,0),MATCH(Input!G$8,'Operating Assumptions &amp; Proj'!$105:$105,0))</f>
        <v>618</v>
      </c>
      <c r="H42" s="59">
        <f>INDEX('Operating Assumptions &amp; Proj'!$A$105:$K$174,MATCH(Input!$A42,'Operating Assumptions &amp; Proj'!$A$105:$A$174,0),MATCH(Input!H$8,'Operating Assumptions &amp; Proj'!$105:$105,0))</f>
        <v>0</v>
      </c>
      <c r="I42" s="59">
        <f>INDEX('Operating Assumptions &amp; Proj'!$A$105:$K$174,MATCH(Input!$A42,'Operating Assumptions &amp; Proj'!$A$105:$A$174,0),MATCH(Input!I$8,'Operating Assumptions &amp; Proj'!$105:$105,0))</f>
        <v>0</v>
      </c>
      <c r="J42" s="59">
        <f>INDEX('Operating Assumptions &amp; Proj'!$A$105:$K$174,MATCH(Input!$A42,'Operating Assumptions &amp; Proj'!$A$105:$A$174,0),MATCH(Input!J$8,'Operating Assumptions &amp; Proj'!$105:$105,0))</f>
        <v>0</v>
      </c>
      <c r="K42" s="59">
        <f>INDEX('Operating Assumptions &amp; Proj'!$A$105:$K$174,MATCH(Input!$A42,'Operating Assumptions &amp; Proj'!$A$105:$A$174,0),MATCH(Input!K$8,'Operating Assumptions &amp; Proj'!$105:$105,0))</f>
        <v>0</v>
      </c>
    </row>
    <row r="43" spans="1:11" s="4" customFormat="1" x14ac:dyDescent="0.2">
      <c r="A43" s="4" t="s">
        <v>340</v>
      </c>
      <c r="B43" s="255">
        <f t="shared" ref="B43:H43" si="7">B42</f>
        <v>598</v>
      </c>
      <c r="C43" s="255">
        <f t="shared" si="7"/>
        <v>575</v>
      </c>
      <c r="D43" s="255">
        <f t="shared" si="7"/>
        <v>547</v>
      </c>
      <c r="E43" s="255">
        <f t="shared" si="7"/>
        <v>595</v>
      </c>
      <c r="F43" s="255">
        <f t="shared" si="7"/>
        <v>584</v>
      </c>
      <c r="G43" s="255">
        <f t="shared" si="7"/>
        <v>618</v>
      </c>
      <c r="H43" s="255">
        <f t="shared" si="7"/>
        <v>0</v>
      </c>
      <c r="I43" s="255">
        <f t="shared" ref="I43:K43" si="8">I42</f>
        <v>0</v>
      </c>
      <c r="J43" s="255">
        <f t="shared" si="8"/>
        <v>0</v>
      </c>
      <c r="K43" s="255">
        <f t="shared" si="8"/>
        <v>0</v>
      </c>
    </row>
    <row r="44" spans="1:11" s="4" customFormat="1" ht="17" thickBot="1" x14ac:dyDescent="0.25">
      <c r="A44" s="4" t="s">
        <v>341</v>
      </c>
      <c r="B44" s="253">
        <f t="shared" ref="B44:H44" si="9">B40+B43</f>
        <v>2817</v>
      </c>
      <c r="C44" s="253">
        <f t="shared" si="9"/>
        <v>1655</v>
      </c>
      <c r="D44" s="253">
        <f t="shared" si="9"/>
        <v>1272</v>
      </c>
      <c r="E44" s="253">
        <f t="shared" si="9"/>
        <v>2365</v>
      </c>
      <c r="F44" s="253">
        <f t="shared" si="9"/>
        <v>2120</v>
      </c>
      <c r="G44" s="253">
        <f>G40+G43</f>
        <v>2479</v>
      </c>
      <c r="H44" s="253">
        <f t="shared" si="9"/>
        <v>22740.6</v>
      </c>
      <c r="I44" s="253">
        <f t="shared" ref="I44:K44" si="10">I40+I43</f>
        <v>22480.6</v>
      </c>
      <c r="J44" s="253">
        <f t="shared" si="10"/>
        <v>22397.599999999999</v>
      </c>
      <c r="K44" s="253">
        <f t="shared" si="10"/>
        <v>22391.599999999999</v>
      </c>
    </row>
    <row r="45" spans="1:11" ht="17" thickTop="1" x14ac:dyDescent="0.2">
      <c r="B45" s="59"/>
      <c r="C45" s="59"/>
      <c r="D45" s="59"/>
      <c r="E45" s="59"/>
      <c r="F45" s="59"/>
      <c r="G45" s="59"/>
      <c r="H45" s="59"/>
      <c r="I45" s="59"/>
      <c r="J45" s="59"/>
      <c r="K45" s="59"/>
    </row>
    <row r="46" spans="1:11" x14ac:dyDescent="0.2">
      <c r="A46" s="5" t="s">
        <v>219</v>
      </c>
      <c r="B46" s="59">
        <f>INDEX('Operating Assumptions &amp; Proj'!$A$105:$K$174,MATCH(Input!$A46,'Operating Assumptions &amp; Proj'!$A$105:$A$174,0),MATCH(Input!B$8,'Operating Assumptions &amp; Proj'!$105:$105,0))</f>
        <v>8922</v>
      </c>
      <c r="C46" s="59">
        <f>INDEX('Operating Assumptions &amp; Proj'!$A$105:$K$174,MATCH(Input!$A46,'Operating Assumptions &amp; Proj'!$A$105:$A$174,0),MATCH(Input!C$8,'Operating Assumptions &amp; Proj'!$105:$105,0))</f>
        <v>8399</v>
      </c>
      <c r="D46" s="59">
        <f>INDEX('Operating Assumptions &amp; Proj'!$A$105:$K$174,MATCH(Input!$A46,'Operating Assumptions &amp; Proj'!$A$105:$A$174,0),MATCH(Input!D$8,'Operating Assumptions &amp; Proj'!$105:$105,0))</f>
        <v>9181</v>
      </c>
      <c r="E46" s="59">
        <f>INDEX('Operating Assumptions &amp; Proj'!$A$105:$K$174,MATCH(Input!$A46,'Operating Assumptions &amp; Proj'!$A$105:$A$174,0),MATCH(Input!E$8,'Operating Assumptions &amp; Proj'!$105:$105,0))</f>
        <v>9762</v>
      </c>
      <c r="F46" s="59">
        <f>INDEX('Operating Assumptions &amp; Proj'!$A$105:$K$174,MATCH(Input!$A46,'Operating Assumptions &amp; Proj'!$A$105:$A$174,0),MATCH(Input!F$8,'Operating Assumptions &amp; Proj'!$105:$105,0))</f>
        <v>10264</v>
      </c>
      <c r="G46" s="59">
        <f>INDEX('Operating Assumptions &amp; Proj'!$A$105:$K$174,MATCH(Input!$A46,'Operating Assumptions &amp; Proj'!$A$105:$A$174,0),MATCH(Input!G$8,'Operating Assumptions &amp; Proj'!$105:$105,0))</f>
        <v>10364</v>
      </c>
      <c r="H46" s="59">
        <f>INDEX('Operating Assumptions &amp; Proj'!$A$105:$K$174,MATCH(Input!$A46,'Operating Assumptions &amp; Proj'!$A$105:$A$174,0),MATCH(Input!H$8,'Operating Assumptions &amp; Proj'!$105:$105,0))</f>
        <v>10364</v>
      </c>
      <c r="I46" s="59">
        <f>INDEX('Operating Assumptions &amp; Proj'!$A$105:$K$174,MATCH(Input!$A46,'Operating Assumptions &amp; Proj'!$A$105:$A$174,0),MATCH(Input!I$8,'Operating Assumptions &amp; Proj'!$105:$105,0))</f>
        <v>12063.001869651362</v>
      </c>
      <c r="J46" s="59">
        <f>INDEX('Operating Assumptions &amp; Proj'!$A$105:$K$174,MATCH(Input!$A46,'Operating Assumptions &amp; Proj'!$A$105:$A$174,0),MATCH(Input!J$8,'Operating Assumptions &amp; Proj'!$105:$105,0))</f>
        <v>12675.802364629653</v>
      </c>
      <c r="K46" s="59">
        <f>INDEX('Operating Assumptions &amp; Proj'!$A$105:$K$174,MATCH(Input!$A46,'Operating Assumptions &amp; Proj'!$A$105:$A$174,0),MATCH(Input!K$8,'Operating Assumptions &amp; Proj'!$105:$105,0))</f>
        <v>13319.733124752838</v>
      </c>
    </row>
    <row r="47" spans="1:11" s="4" customFormat="1" ht="17" thickBot="1" x14ac:dyDescent="0.25">
      <c r="A47" s="4" t="s">
        <v>342</v>
      </c>
      <c r="B47" s="253">
        <f t="shared" ref="B47:H47" si="11">B46</f>
        <v>8922</v>
      </c>
      <c r="C47" s="253">
        <f t="shared" si="11"/>
        <v>8399</v>
      </c>
      <c r="D47" s="253">
        <f t="shared" si="11"/>
        <v>9181</v>
      </c>
      <c r="E47" s="253">
        <f t="shared" si="11"/>
        <v>9762</v>
      </c>
      <c r="F47" s="253">
        <f t="shared" si="11"/>
        <v>10264</v>
      </c>
      <c r="G47" s="253">
        <f t="shared" si="11"/>
        <v>10364</v>
      </c>
      <c r="H47" s="253">
        <f t="shared" si="11"/>
        <v>10364</v>
      </c>
      <c r="I47" s="253">
        <f t="shared" ref="I47:K47" si="12">I46</f>
        <v>12063.001869651362</v>
      </c>
      <c r="J47" s="253">
        <f t="shared" si="12"/>
        <v>12675.802364629653</v>
      </c>
      <c r="K47" s="253">
        <f t="shared" si="12"/>
        <v>13319.733124752838</v>
      </c>
    </row>
    <row r="48" spans="1:11" ht="17" thickTop="1" x14ac:dyDescent="0.2">
      <c r="B48" s="59"/>
      <c r="C48" s="59"/>
      <c r="D48" s="59"/>
      <c r="E48" s="59"/>
      <c r="F48" s="59"/>
      <c r="G48" s="59"/>
      <c r="H48" s="59"/>
      <c r="I48" s="59"/>
      <c r="J48" s="59"/>
      <c r="K48" s="59"/>
    </row>
    <row r="49" spans="1:11" x14ac:dyDescent="0.2">
      <c r="A49" s="5" t="s">
        <v>225</v>
      </c>
      <c r="B49" s="59">
        <f>INDEX('Operating Assumptions &amp; Proj'!$A$105:$K$174,MATCH(Input!$A49,'Operating Assumptions &amp; Proj'!$A$105:$A$174,0),MATCH(Input!B$8,'Operating Assumptions &amp; Proj'!$105:$105,0))</f>
        <v>6377</v>
      </c>
      <c r="C49" s="59">
        <f>INDEX('Operating Assumptions &amp; Proj'!$A$105:$K$174,MATCH(Input!$A49,'Operating Assumptions &amp; Proj'!$A$105:$A$174,0),MATCH(Input!C$8,'Operating Assumptions &amp; Proj'!$105:$105,0))</f>
        <v>5321</v>
      </c>
      <c r="D49" s="59">
        <f>INDEX('Operating Assumptions &amp; Proj'!$A$105:$K$174,MATCH(Input!$A49,'Operating Assumptions &amp; Proj'!$A$105:$A$174,0),MATCH(Input!D$8,'Operating Assumptions &amp; Proj'!$105:$105,0))</f>
        <v>4729</v>
      </c>
      <c r="E49" s="59">
        <f>INDEX('Operating Assumptions &amp; Proj'!$A$105:$K$174,MATCH(Input!$A49,'Operating Assumptions &amp; Proj'!$A$105:$A$174,0),MATCH(Input!E$8,'Operating Assumptions &amp; Proj'!$105:$105,0))</f>
        <v>4485</v>
      </c>
      <c r="F49" s="59">
        <f>INDEX('Operating Assumptions &amp; Proj'!$A$105:$K$174,MATCH(Input!$A49,'Operating Assumptions &amp; Proj'!$A$105:$A$174,0),MATCH(Input!F$8,'Operating Assumptions &amp; Proj'!$105:$105,0))</f>
        <v>108</v>
      </c>
      <c r="G49" s="59">
        <f>INDEX('Operating Assumptions &amp; Proj'!$A$105:$K$174,MATCH(Input!$A49,'Operating Assumptions &amp; Proj'!$A$105:$A$174,0),MATCH(Input!G$8,'Operating Assumptions &amp; Proj'!$105:$105,0))</f>
        <v>0</v>
      </c>
      <c r="H49" s="59">
        <f>INDEX('Operating Assumptions &amp; Proj'!$A$105:$K$174,MATCH(Input!$A49,'Operating Assumptions &amp; Proj'!$A$105:$A$174,0),MATCH(Input!H$8,'Operating Assumptions &amp; Proj'!$105:$105,0))</f>
        <v>0</v>
      </c>
      <c r="I49" s="59">
        <f>INDEX('Operating Assumptions &amp; Proj'!$A$105:$K$174,MATCH(Input!$A49,'Operating Assumptions &amp; Proj'!$A$105:$A$174,0),MATCH(Input!I$8,'Operating Assumptions &amp; Proj'!$105:$105,0))</f>
        <v>0</v>
      </c>
      <c r="J49" s="59">
        <f>INDEX('Operating Assumptions &amp; Proj'!$A$105:$K$174,MATCH(Input!$A49,'Operating Assumptions &amp; Proj'!$A$105:$A$174,0),MATCH(Input!J$8,'Operating Assumptions &amp; Proj'!$105:$105,0))</f>
        <v>0</v>
      </c>
      <c r="K49" s="59">
        <f>INDEX('Operating Assumptions &amp; Proj'!$A$105:$K$174,MATCH(Input!$A49,'Operating Assumptions &amp; Proj'!$A$105:$A$174,0),MATCH(Input!K$8,'Operating Assumptions &amp; Proj'!$105:$105,0))</f>
        <v>0</v>
      </c>
    </row>
    <row r="50" spans="1:11" x14ac:dyDescent="0.2">
      <c r="A50" s="5" t="s">
        <v>228</v>
      </c>
      <c r="B50" s="59">
        <f>INDEX('Operating Assumptions &amp; Proj'!$A$105:$K$174,MATCH(Input!$A50,'Operating Assumptions &amp; Proj'!$A$105:$A$174,0),MATCH(Input!B$8,'Operating Assumptions &amp; Proj'!$105:$105,0))</f>
        <v>216</v>
      </c>
      <c r="C50" s="59">
        <f>INDEX('Operating Assumptions &amp; Proj'!$A$105:$K$174,MATCH(Input!$A50,'Operating Assumptions &amp; Proj'!$A$105:$A$174,0),MATCH(Input!C$8,'Operating Assumptions &amp; Proj'!$105:$105,0))</f>
        <v>543</v>
      </c>
      <c r="D50" s="59">
        <f>INDEX('Operating Assumptions &amp; Proj'!$A$105:$K$174,MATCH(Input!$A50,'Operating Assumptions &amp; Proj'!$A$105:$A$174,0),MATCH(Input!D$8,'Operating Assumptions &amp; Proj'!$105:$105,0))</f>
        <v>946</v>
      </c>
      <c r="E50" s="59">
        <f>INDEX('Operating Assumptions &amp; Proj'!$A$105:$K$174,MATCH(Input!$A50,'Operating Assumptions &amp; Proj'!$A$105:$A$174,0),MATCH(Input!E$8,'Operating Assumptions &amp; Proj'!$105:$105,0))</f>
        <v>980</v>
      </c>
      <c r="F50" s="59">
        <f>INDEX('Operating Assumptions &amp; Proj'!$A$105:$K$174,MATCH(Input!$A50,'Operating Assumptions &amp; Proj'!$A$105:$A$174,0),MATCH(Input!F$8,'Operating Assumptions &amp; Proj'!$105:$105,0))</f>
        <v>7979</v>
      </c>
      <c r="G50" s="59">
        <f>INDEX('Operating Assumptions &amp; Proj'!$A$105:$K$174,MATCH(Input!$A50,'Operating Assumptions &amp; Proj'!$A$105:$A$174,0),MATCH(Input!G$8,'Operating Assumptions &amp; Proj'!$105:$105,0))</f>
        <v>964</v>
      </c>
      <c r="H50" s="59">
        <f>INDEX('Operating Assumptions &amp; Proj'!$A$105:$K$174,MATCH(Input!$A50,'Operating Assumptions &amp; Proj'!$A$105:$A$174,0),MATCH(Input!H$8,'Operating Assumptions &amp; Proj'!$105:$105,0))</f>
        <v>964</v>
      </c>
      <c r="I50" s="59">
        <f>INDEX('Operating Assumptions &amp; Proj'!$A$105:$K$174,MATCH(Input!$A50,'Operating Assumptions &amp; Proj'!$A$105:$A$174,0),MATCH(Input!I$8,'Operating Assumptions &amp; Proj'!$105:$105,0))</f>
        <v>964</v>
      </c>
      <c r="J50" s="59">
        <f>INDEX('Operating Assumptions &amp; Proj'!$A$105:$K$174,MATCH(Input!$A50,'Operating Assumptions &amp; Proj'!$A$105:$A$174,0),MATCH(Input!J$8,'Operating Assumptions &amp; Proj'!$105:$105,0))</f>
        <v>964</v>
      </c>
      <c r="K50" s="59">
        <f>INDEX('Operating Assumptions &amp; Proj'!$A$105:$K$174,MATCH(Input!$A50,'Operating Assumptions &amp; Proj'!$A$105:$A$174,0),MATCH(Input!K$8,'Operating Assumptions &amp; Proj'!$105:$105,0))</f>
        <v>964</v>
      </c>
    </row>
    <row r="51" spans="1:11" x14ac:dyDescent="0.2">
      <c r="A51" s="5" t="s">
        <v>229</v>
      </c>
      <c r="B51" s="254">
        <f>INDEX('Operating Assumptions &amp; Proj'!$A$105:$K$174,MATCH(Input!$A51,'Operating Assumptions &amp; Proj'!$A$105:$A$174,0),MATCH(Input!B$8,'Operating Assumptions &amp; Proj'!$105:$105,0))</f>
        <v>18656</v>
      </c>
      <c r="C51" s="254">
        <f>INDEX('Operating Assumptions &amp; Proj'!$A$105:$K$174,MATCH(Input!$A51,'Operating Assumptions &amp; Proj'!$A$105:$A$174,0),MATCH(Input!C$8,'Operating Assumptions &amp; Proj'!$105:$105,0))</f>
        <v>15997</v>
      </c>
      <c r="D51" s="254">
        <f>INDEX('Operating Assumptions &amp; Proj'!$A$105:$K$174,MATCH(Input!$A51,'Operating Assumptions &amp; Proj'!$A$105:$A$174,0),MATCH(Input!D$8,'Operating Assumptions &amp; Proj'!$105:$105,0))</f>
        <v>16139</v>
      </c>
      <c r="E51" s="254">
        <f>INDEX('Operating Assumptions &amp; Proj'!$A$105:$K$174,MATCH(Input!$A51,'Operating Assumptions &amp; Proj'!$A$105:$A$174,0),MATCH(Input!E$8,'Operating Assumptions &amp; Proj'!$105:$105,0))</f>
        <v>17610</v>
      </c>
      <c r="F51" s="254">
        <f>INDEX('Operating Assumptions &amp; Proj'!$A$105:$K$174,MATCH(Input!$A51,'Operating Assumptions &amp; Proj'!$A$105:$A$174,0),MATCH(Input!F$8,'Operating Assumptions &amp; Proj'!$105:$105,0))</f>
        <v>20472</v>
      </c>
      <c r="G51" s="254">
        <f>INDEX('Operating Assumptions &amp; Proj'!$A$105:$K$174,MATCH(Input!$A51,'Operating Assumptions &amp; Proj'!$A$105:$A$174,0),MATCH(Input!G$8,'Operating Assumptions &amp; Proj'!$105:$105,0))</f>
        <v>13820</v>
      </c>
      <c r="H51" s="254">
        <f>INDEX('Operating Assumptions &amp; Proj'!$A$105:$K$174,MATCH(Input!$A51,'Operating Assumptions &amp; Proj'!$A$105:$A$174,0),MATCH(Input!H$8,'Operating Assumptions &amp; Proj'!$105:$105,0))</f>
        <v>34081.599999999999</v>
      </c>
      <c r="I51" s="254">
        <f>INDEX('Operating Assumptions &amp; Proj'!$A$105:$K$174,MATCH(Input!$A51,'Operating Assumptions &amp; Proj'!$A$105:$A$174,0),MATCH(Input!I$8,'Operating Assumptions &amp; Proj'!$105:$105,0))</f>
        <v>35520.601869651364</v>
      </c>
      <c r="J51" s="254">
        <f>INDEX('Operating Assumptions &amp; Proj'!$A$105:$K$174,MATCH(Input!$A51,'Operating Assumptions &amp; Proj'!$A$105:$A$174,0),MATCH(Input!J$8,'Operating Assumptions &amp; Proj'!$105:$105,0))</f>
        <v>36050.402364629655</v>
      </c>
      <c r="K51" s="254">
        <f>INDEX('Operating Assumptions &amp; Proj'!$A$105:$K$174,MATCH(Input!$A51,'Operating Assumptions &amp; Proj'!$A$105:$A$174,0),MATCH(Input!K$8,'Operating Assumptions &amp; Proj'!$105:$105,0))</f>
        <v>36688.33312475284</v>
      </c>
    </row>
    <row r="52" spans="1:11" x14ac:dyDescent="0.2">
      <c r="B52" s="59"/>
      <c r="C52" s="59"/>
      <c r="D52" s="59"/>
      <c r="E52" s="59"/>
      <c r="F52" s="59"/>
      <c r="G52" s="59"/>
      <c r="H52" s="59"/>
      <c r="I52" s="59"/>
      <c r="J52" s="59"/>
      <c r="K52" s="59"/>
    </row>
    <row r="53" spans="1:11" x14ac:dyDescent="0.2">
      <c r="A53" s="5" t="s">
        <v>230</v>
      </c>
      <c r="B53" s="59">
        <f>INDEX('Operating Assumptions &amp; Proj'!$A$105:$K$174,MATCH(Input!$A53,'Operating Assumptions &amp; Proj'!$A$105:$A$174,0),MATCH(Input!B$8,'Operating Assumptions &amp; Proj'!$105:$105,0))</f>
        <v>6005</v>
      </c>
      <c r="C53" s="59">
        <f>INDEX('Operating Assumptions &amp; Proj'!$A$105:$K$174,MATCH(Input!$A53,'Operating Assumptions &amp; Proj'!$A$105:$A$174,0),MATCH(Input!C$8,'Operating Assumptions &amp; Proj'!$105:$105,0))</f>
        <v>6188</v>
      </c>
      <c r="D53" s="59">
        <f>INDEX('Operating Assumptions &amp; Proj'!$A$105:$K$174,MATCH(Input!$A53,'Operating Assumptions &amp; Proj'!$A$105:$A$174,0),MATCH(Input!D$8,'Operating Assumptions &amp; Proj'!$105:$105,0))</f>
        <v>6674</v>
      </c>
      <c r="E53" s="59">
        <f>INDEX('Operating Assumptions &amp; Proj'!$A$105:$K$174,MATCH(Input!$A53,'Operating Assumptions &amp; Proj'!$A$105:$A$174,0),MATCH(Input!E$8,'Operating Assumptions &amp; Proj'!$105:$105,0))</f>
        <v>5581</v>
      </c>
      <c r="F53" s="59">
        <f>INDEX('Operating Assumptions &amp; Proj'!$A$105:$K$174,MATCH(Input!$A53,'Operating Assumptions &amp; Proj'!$A$105:$A$174,0),MATCH(Input!F$8,'Operating Assumptions &amp; Proj'!$105:$105,0))</f>
        <v>5683</v>
      </c>
      <c r="G53" s="59">
        <f>INDEX('Operating Assumptions &amp; Proj'!$A$105:$K$174,MATCH(Input!$A53,'Operating Assumptions &amp; Proj'!$A$105:$A$174,0),MATCH(Input!G$8,'Operating Assumptions &amp; Proj'!$105:$105,0))</f>
        <v>5089</v>
      </c>
      <c r="H53" s="59">
        <f>INDEX('Operating Assumptions &amp; Proj'!$A$105:$K$174,MATCH(Input!$A53,'Operating Assumptions &amp; Proj'!$A$105:$A$174,0),MATCH(Input!H$8,'Operating Assumptions &amp; Proj'!$105:$105,0))</f>
        <v>24010.400000000001</v>
      </c>
      <c r="I53" s="59">
        <f>INDEX('Operating Assumptions &amp; Proj'!$A$105:$K$174,MATCH(Input!$A53,'Operating Assumptions &amp; Proj'!$A$105:$A$174,0),MATCH(Input!I$8,'Operating Assumptions &amp; Proj'!$105:$105,0))</f>
        <v>24270.800000000003</v>
      </c>
      <c r="J53" s="59">
        <f>INDEX('Operating Assumptions &amp; Proj'!$A$105:$K$174,MATCH(Input!$A53,'Operating Assumptions &amp; Proj'!$A$105:$A$174,0),MATCH(Input!J$8,'Operating Assumptions &amp; Proj'!$105:$105,0))</f>
        <v>24354.200000000004</v>
      </c>
      <c r="K53" s="59">
        <f>INDEX('Operating Assumptions &amp; Proj'!$A$105:$K$174,MATCH(Input!$A53,'Operating Assumptions &amp; Proj'!$A$105:$A$174,0),MATCH(Input!K$8,'Operating Assumptions &amp; Proj'!$105:$105,0))</f>
        <v>24360.600000000006</v>
      </c>
    </row>
    <row r="54" spans="1:11" x14ac:dyDescent="0.2">
      <c r="A54" s="5" t="s">
        <v>232</v>
      </c>
      <c r="B54" s="59">
        <f>INDEX('Operating Assumptions &amp; Proj'!$A$105:$K$174,MATCH(Input!$A54,'Operating Assumptions &amp; Proj'!$A$105:$A$174,0),MATCH(Input!B$8,'Operating Assumptions &amp; Proj'!$105:$105,0))</f>
        <v>0</v>
      </c>
      <c r="C54" s="59">
        <f>INDEX('Operating Assumptions &amp; Proj'!$A$105:$K$174,MATCH(Input!$A54,'Operating Assumptions &amp; Proj'!$A$105:$A$174,0),MATCH(Input!C$8,'Operating Assumptions &amp; Proj'!$105:$105,0))</f>
        <v>0</v>
      </c>
      <c r="D54" s="59">
        <f>INDEX('Operating Assumptions &amp; Proj'!$A$105:$K$174,MATCH(Input!$A54,'Operating Assumptions &amp; Proj'!$A$105:$A$174,0),MATCH(Input!D$8,'Operating Assumptions &amp; Proj'!$105:$105,0))</f>
        <v>0</v>
      </c>
      <c r="E54" s="59">
        <f>INDEX('Operating Assumptions &amp; Proj'!$A$105:$K$174,MATCH(Input!$A54,'Operating Assumptions &amp; Proj'!$A$105:$A$174,0),MATCH(Input!E$8,'Operating Assumptions &amp; Proj'!$105:$105,0))</f>
        <v>0</v>
      </c>
      <c r="F54" s="59">
        <f>INDEX('Operating Assumptions &amp; Proj'!$A$105:$K$174,MATCH(Input!$A54,'Operating Assumptions &amp; Proj'!$A$105:$A$174,0),MATCH(Input!F$8,'Operating Assumptions &amp; Proj'!$105:$105,0))</f>
        <v>0</v>
      </c>
      <c r="G54" s="59">
        <f>INDEX('Operating Assumptions &amp; Proj'!$A$105:$K$174,MATCH(Input!$A54,'Operating Assumptions &amp; Proj'!$A$105:$A$174,0),MATCH(Input!G$8,'Operating Assumptions &amp; Proj'!$105:$105,0))</f>
        <v>0</v>
      </c>
      <c r="H54" s="59">
        <f>INDEX('Operating Assumptions &amp; Proj'!$A$105:$K$174,MATCH(Input!$A54,'Operating Assumptions &amp; Proj'!$A$105:$A$174,0),MATCH(Input!H$8,'Operating Assumptions &amp; Proj'!$105:$105,0))</f>
        <v>0</v>
      </c>
      <c r="I54" s="59">
        <f>INDEX('Operating Assumptions &amp; Proj'!$A$105:$K$174,MATCH(Input!$A54,'Operating Assumptions &amp; Proj'!$A$105:$A$174,0),MATCH(Input!I$8,'Operating Assumptions &amp; Proj'!$105:$105,0))</f>
        <v>0</v>
      </c>
      <c r="J54" s="59">
        <f>INDEX('Operating Assumptions &amp; Proj'!$A$105:$K$174,MATCH(Input!$A54,'Operating Assumptions &amp; Proj'!$A$105:$A$174,0),MATCH(Input!J$8,'Operating Assumptions &amp; Proj'!$105:$105,0))</f>
        <v>0</v>
      </c>
      <c r="K54" s="59">
        <f>INDEX('Operating Assumptions &amp; Proj'!$A$105:$K$174,MATCH(Input!$A54,'Operating Assumptions &amp; Proj'!$A$105:$A$174,0),MATCH(Input!K$8,'Operating Assumptions &amp; Proj'!$105:$105,0))</f>
        <v>0</v>
      </c>
    </row>
    <row r="55" spans="1:11" x14ac:dyDescent="0.2">
      <c r="A55" s="73" t="s">
        <v>833</v>
      </c>
      <c r="B55" s="59">
        <f>INDEX('Operating Assumptions &amp; Proj'!$A$105:$K$174,MATCH(Input!$A55,'Operating Assumptions &amp; Proj'!$A$105:$A$174,0),MATCH(Input!B$8,'Operating Assumptions &amp; Proj'!$105:$105,0))</f>
        <v>0</v>
      </c>
      <c r="C55" s="59">
        <f>INDEX('Operating Assumptions &amp; Proj'!$A$105:$K$174,MATCH(Input!$A55,'Operating Assumptions &amp; Proj'!$A$105:$A$174,0),MATCH(Input!C$8,'Operating Assumptions &amp; Proj'!$105:$105,0))</f>
        <v>0</v>
      </c>
      <c r="D55" s="59">
        <f>INDEX('Operating Assumptions &amp; Proj'!$A$105:$K$174,MATCH(Input!$A55,'Operating Assumptions &amp; Proj'!$A$105:$A$174,0),MATCH(Input!D$8,'Operating Assumptions &amp; Proj'!$105:$105,0))</f>
        <v>0</v>
      </c>
      <c r="E55" s="59">
        <f>INDEX('Operating Assumptions &amp; Proj'!$A$105:$K$174,MATCH(Input!$A55,'Operating Assumptions &amp; Proj'!$A$105:$A$174,0),MATCH(Input!E$8,'Operating Assumptions &amp; Proj'!$105:$105,0))</f>
        <v>0</v>
      </c>
      <c r="F55" s="59">
        <f>INDEX('Operating Assumptions &amp; Proj'!$A$105:$K$174,MATCH(Input!$A55,'Operating Assumptions &amp; Proj'!$A$105:$A$174,0),MATCH(Input!F$8,'Operating Assumptions &amp; Proj'!$105:$105,0))</f>
        <v>0</v>
      </c>
      <c r="G55" s="59">
        <f>INDEX('Operating Assumptions &amp; Proj'!$A$105:$K$174,MATCH(Input!$A55,'Operating Assumptions &amp; Proj'!$A$105:$A$174,0),MATCH(Input!G$8,'Operating Assumptions &amp; Proj'!$105:$105,0))</f>
        <v>0</v>
      </c>
      <c r="H55" s="59">
        <f>INDEX('Operating Assumptions &amp; Proj'!$A$105:$K$174,MATCH(Input!$A55,'Operating Assumptions &amp; Proj'!$A$105:$A$174,0),MATCH(Input!H$8,'Operating Assumptions &amp; Proj'!$105:$105,0))</f>
        <v>7562</v>
      </c>
      <c r="I55" s="59">
        <f>INDEX('Operating Assumptions &amp; Proj'!$A$105:$K$174,MATCH(Input!$A55,'Operating Assumptions &amp; Proj'!$A$105:$A$174,0),MATCH(Input!I$8,'Operating Assumptions &amp; Proj'!$105:$105,0))</f>
        <v>7562</v>
      </c>
      <c r="J55" s="59">
        <f>INDEX('Operating Assumptions &amp; Proj'!$A$105:$K$174,MATCH(Input!$A55,'Operating Assumptions &amp; Proj'!$A$105:$A$174,0),MATCH(Input!J$8,'Operating Assumptions &amp; Proj'!$105:$105,0))</f>
        <v>7562</v>
      </c>
      <c r="K55" s="59">
        <f>INDEX('Operating Assumptions &amp; Proj'!$A$105:$K$174,MATCH(Input!$A55,'Operating Assumptions &amp; Proj'!$A$105:$A$174,0),MATCH(Input!K$8,'Operating Assumptions &amp; Proj'!$105:$105,0))</f>
        <v>7562</v>
      </c>
    </row>
    <row r="56" spans="1:11" ht="17" thickBot="1" x14ac:dyDescent="0.25">
      <c r="A56" s="4" t="s">
        <v>343</v>
      </c>
      <c r="B56" s="253">
        <f t="shared" ref="B56:G56" si="13">SUM(B53:B54)</f>
        <v>6005</v>
      </c>
      <c r="C56" s="253">
        <f t="shared" si="13"/>
        <v>6188</v>
      </c>
      <c r="D56" s="253">
        <f t="shared" si="13"/>
        <v>6674</v>
      </c>
      <c r="E56" s="253">
        <f t="shared" si="13"/>
        <v>5581</v>
      </c>
      <c r="F56" s="253">
        <f t="shared" si="13"/>
        <v>5683</v>
      </c>
      <c r="G56" s="253">
        <f t="shared" si="13"/>
        <v>5089</v>
      </c>
      <c r="H56" s="253">
        <f>SUM(H53:H55)</f>
        <v>31572.400000000001</v>
      </c>
      <c r="I56" s="253">
        <f t="shared" ref="I56:K56" si="14">SUM(I53:I55)</f>
        <v>31832.800000000003</v>
      </c>
      <c r="J56" s="253">
        <f t="shared" si="14"/>
        <v>31916.200000000004</v>
      </c>
      <c r="K56" s="253">
        <f t="shared" si="14"/>
        <v>31922.600000000006</v>
      </c>
    </row>
    <row r="57" spans="1:11" ht="17" thickTop="1" x14ac:dyDescent="0.2">
      <c r="B57" s="59"/>
      <c r="C57" s="59"/>
      <c r="D57" s="59"/>
      <c r="E57" s="59"/>
      <c r="F57" s="59"/>
      <c r="G57" s="59"/>
      <c r="H57" s="59"/>
      <c r="I57" s="59"/>
      <c r="J57" s="59"/>
      <c r="K57" s="59"/>
    </row>
    <row r="58" spans="1:11" x14ac:dyDescent="0.2">
      <c r="A58" s="5" t="s">
        <v>231</v>
      </c>
      <c r="B58" s="59">
        <f>INDEX('Operating Assumptions &amp; Proj'!$A$105:$K$174,MATCH(Input!$A58,'Operating Assumptions &amp; Proj'!$A$105:$A$174,0),MATCH(Input!B$8,'Operating Assumptions &amp; Proj'!$105:$105,0))</f>
        <v>8968</v>
      </c>
      <c r="C58" s="59">
        <f>INDEX('Operating Assumptions &amp; Proj'!$A$105:$K$174,MATCH(Input!$A58,'Operating Assumptions &amp; Proj'!$A$105:$A$174,0),MATCH(Input!C$8,'Operating Assumptions &amp; Proj'!$105:$105,0))</f>
        <v>7827</v>
      </c>
      <c r="D58" s="59">
        <f>INDEX('Operating Assumptions &amp; Proj'!$A$105:$K$174,MATCH(Input!$A58,'Operating Assumptions &amp; Proj'!$A$105:$A$174,0),MATCH(Input!D$8,'Operating Assumptions &amp; Proj'!$105:$105,0))</f>
        <v>7411</v>
      </c>
      <c r="E58" s="59">
        <f>INDEX('Operating Assumptions &amp; Proj'!$A$105:$K$174,MATCH(Input!$A58,'Operating Assumptions &amp; Proj'!$A$105:$A$174,0),MATCH(Input!E$8,'Operating Assumptions &amp; Proj'!$105:$105,0))</f>
        <v>7132</v>
      </c>
      <c r="F58" s="59">
        <f>INDEX('Operating Assumptions &amp; Proj'!$A$105:$K$174,MATCH(Input!$A58,'Operating Assumptions &amp; Proj'!$A$105:$A$174,0),MATCH(Input!F$8,'Operating Assumptions &amp; Proj'!$105:$105,0))</f>
        <v>7038</v>
      </c>
      <c r="G58" s="59">
        <f>INDEX('Operating Assumptions &amp; Proj'!$A$105:$K$174,MATCH(Input!$A58,'Operating Assumptions &amp; Proj'!$A$105:$A$174,0),MATCH(Input!G$8,'Operating Assumptions &amp; Proj'!$105:$105,0))</f>
        <v>7098</v>
      </c>
      <c r="H58" s="59">
        <f>INDEX('Operating Assumptions &amp; Proj'!$A$105:$K$174,MATCH(Input!$A58,'Operating Assumptions &amp; Proj'!$A$105:$A$174,0),MATCH(Input!H$8,'Operating Assumptions &amp; Proj'!$105:$105,0))</f>
        <v>0</v>
      </c>
      <c r="I58" s="59">
        <f>INDEX('Operating Assumptions &amp; Proj'!$A$105:$K$174,MATCH(Input!$A58,'Operating Assumptions &amp; Proj'!$A$105:$A$174,0),MATCH(Input!I$8,'Operating Assumptions &amp; Proj'!$105:$105,0))</f>
        <v>0</v>
      </c>
      <c r="J58" s="59">
        <f>INDEX('Operating Assumptions &amp; Proj'!$A$105:$K$174,MATCH(Input!$A58,'Operating Assumptions &amp; Proj'!$A$105:$A$174,0),MATCH(Input!J$8,'Operating Assumptions &amp; Proj'!$105:$105,0))</f>
        <v>0</v>
      </c>
      <c r="K58" s="59">
        <f>INDEX('Operating Assumptions &amp; Proj'!$A$105:$K$174,MATCH(Input!$A58,'Operating Assumptions &amp; Proj'!$A$105:$A$174,0),MATCH(Input!K$8,'Operating Assumptions &amp; Proj'!$105:$105,0))</f>
        <v>0</v>
      </c>
    </row>
    <row r="59" spans="1:11" s="4" customFormat="1" ht="17" thickBot="1" x14ac:dyDescent="0.25">
      <c r="A59" s="4" t="s">
        <v>344</v>
      </c>
      <c r="B59" s="253">
        <f t="shared" ref="B59:H59" si="15">B58</f>
        <v>8968</v>
      </c>
      <c r="C59" s="253">
        <f t="shared" si="15"/>
        <v>7827</v>
      </c>
      <c r="D59" s="253">
        <f t="shared" si="15"/>
        <v>7411</v>
      </c>
      <c r="E59" s="253">
        <f t="shared" si="15"/>
        <v>7132</v>
      </c>
      <c r="F59" s="253">
        <f t="shared" si="15"/>
        <v>7038</v>
      </c>
      <c r="G59" s="253">
        <f t="shared" si="15"/>
        <v>7098</v>
      </c>
      <c r="H59" s="253">
        <f t="shared" si="15"/>
        <v>0</v>
      </c>
      <c r="I59" s="253">
        <f t="shared" ref="I59:K59" si="16">I58</f>
        <v>0</v>
      </c>
      <c r="J59" s="253">
        <f t="shared" si="16"/>
        <v>0</v>
      </c>
      <c r="K59" s="253">
        <f t="shared" si="16"/>
        <v>0</v>
      </c>
    </row>
    <row r="60" spans="1:11" ht="17" thickTop="1" x14ac:dyDescent="0.2">
      <c r="B60" s="59"/>
      <c r="C60" s="59"/>
      <c r="D60" s="59"/>
      <c r="E60" s="59"/>
      <c r="F60" s="59"/>
      <c r="G60" s="59"/>
      <c r="H60" s="59"/>
      <c r="I60" s="59"/>
      <c r="J60" s="59"/>
      <c r="K60" s="59"/>
    </row>
    <row r="61" spans="1:11" s="4" customFormat="1" ht="17" thickBot="1" x14ac:dyDescent="0.25">
      <c r="A61" s="4" t="s">
        <v>345</v>
      </c>
      <c r="B61" s="253">
        <f>B56+B59</f>
        <v>14973</v>
      </c>
      <c r="C61" s="253">
        <f t="shared" ref="C61:H61" si="17">C56+C59</f>
        <v>14015</v>
      </c>
      <c r="D61" s="253">
        <f t="shared" si="17"/>
        <v>14085</v>
      </c>
      <c r="E61" s="253">
        <f t="shared" si="17"/>
        <v>12713</v>
      </c>
      <c r="F61" s="253">
        <f t="shared" si="17"/>
        <v>12721</v>
      </c>
      <c r="G61" s="253">
        <f t="shared" si="17"/>
        <v>12187</v>
      </c>
      <c r="H61" s="253">
        <f t="shared" si="17"/>
        <v>31572.400000000001</v>
      </c>
      <c r="I61" s="253">
        <f t="shared" ref="I61:K61" si="18">I56+I59</f>
        <v>31832.800000000003</v>
      </c>
      <c r="J61" s="253">
        <f t="shared" si="18"/>
        <v>31916.200000000004</v>
      </c>
      <c r="K61" s="253">
        <f t="shared" si="18"/>
        <v>31922.600000000006</v>
      </c>
    </row>
    <row r="62" spans="1:11" ht="17" thickTop="1" x14ac:dyDescent="0.2">
      <c r="B62" s="59"/>
      <c r="C62" s="59"/>
      <c r="D62" s="59"/>
      <c r="E62" s="59"/>
      <c r="F62" s="59"/>
      <c r="G62" s="59"/>
      <c r="H62" s="59"/>
      <c r="I62" s="59"/>
      <c r="J62" s="59"/>
      <c r="K62" s="59"/>
    </row>
    <row r="63" spans="1:11" s="4" customFormat="1" ht="17" thickBot="1" x14ac:dyDescent="0.25">
      <c r="A63" s="4" t="s">
        <v>253</v>
      </c>
      <c r="B63" s="253">
        <f t="shared" ref="B63:K63" si="19">B44+B61</f>
        <v>17790</v>
      </c>
      <c r="C63" s="253">
        <f t="shared" si="19"/>
        <v>15670</v>
      </c>
      <c r="D63" s="253">
        <f t="shared" si="19"/>
        <v>15357</v>
      </c>
      <c r="E63" s="253">
        <f t="shared" si="19"/>
        <v>15078</v>
      </c>
      <c r="F63" s="253">
        <f t="shared" si="19"/>
        <v>14841</v>
      </c>
      <c r="G63" s="253">
        <f t="shared" si="19"/>
        <v>14666</v>
      </c>
      <c r="H63" s="253">
        <f t="shared" si="19"/>
        <v>54313</v>
      </c>
      <c r="I63" s="253">
        <f t="shared" si="19"/>
        <v>54313.4</v>
      </c>
      <c r="J63" s="253">
        <f t="shared" si="19"/>
        <v>54313.8</v>
      </c>
      <c r="K63" s="253">
        <f t="shared" si="19"/>
        <v>54314.200000000004</v>
      </c>
    </row>
    <row r="64" spans="1:11" ht="17" thickTop="1" x14ac:dyDescent="0.2">
      <c r="B64" s="59"/>
      <c r="C64" s="59"/>
      <c r="D64" s="59"/>
      <c r="E64" s="59"/>
      <c r="F64" s="59"/>
      <c r="G64" s="59"/>
      <c r="H64" s="59"/>
      <c r="I64" s="59"/>
      <c r="J64" s="59"/>
      <c r="K64" s="59"/>
    </row>
    <row r="65" spans="1:11" x14ac:dyDescent="0.2">
      <c r="A65" s="5" t="s">
        <v>233</v>
      </c>
      <c r="B65" s="59">
        <f>INDEX('Operating Assumptions &amp; Proj'!$A$105:$K$174,MATCH(Input!$A65,'Operating Assumptions &amp; Proj'!$A$105:$A$174,0),MATCH(Input!B$8,'Operating Assumptions &amp; Proj'!$105:$105,0))</f>
        <v>1830</v>
      </c>
      <c r="C65" s="59">
        <f>INDEX('Operating Assumptions &amp; Proj'!$A$105:$K$174,MATCH(Input!$A65,'Operating Assumptions &amp; Proj'!$A$105:$A$174,0),MATCH(Input!C$8,'Operating Assumptions &amp; Proj'!$105:$105,0))</f>
        <v>1017</v>
      </c>
      <c r="D65" s="59">
        <f>INDEX('Operating Assumptions &amp; Proj'!$A$105:$K$174,MATCH(Input!$A65,'Operating Assumptions &amp; Proj'!$A$105:$A$174,0),MATCH(Input!D$8,'Operating Assumptions &amp; Proj'!$105:$105,0))</f>
        <v>1650</v>
      </c>
      <c r="E65" s="59">
        <f>INDEX('Operating Assumptions &amp; Proj'!$A$105:$K$174,MATCH(Input!$A65,'Operating Assumptions &amp; Proj'!$A$105:$A$174,0),MATCH(Input!E$8,'Operating Assumptions &amp; Proj'!$105:$105,0))</f>
        <v>2265</v>
      </c>
      <c r="F65" s="59">
        <f>INDEX('Operating Assumptions &amp; Proj'!$A$105:$K$174,MATCH(Input!$A65,'Operating Assumptions &amp; Proj'!$A$105:$A$174,0),MATCH(Input!F$8,'Operating Assumptions &amp; Proj'!$105:$105,0))</f>
        <v>0</v>
      </c>
      <c r="G65" s="59">
        <f>INDEX('Operating Assumptions &amp; Proj'!$A$105:$K$174,MATCH(Input!$A65,'Operating Assumptions &amp; Proj'!$A$105:$A$174,0),MATCH(Input!G$8,'Operating Assumptions &amp; Proj'!$105:$105,0))</f>
        <v>0</v>
      </c>
      <c r="H65" s="59">
        <f>INDEX('Operating Assumptions &amp; Proj'!$A$105:$K$174,MATCH(Input!$A65,'Operating Assumptions &amp; Proj'!$A$105:$A$174,0),MATCH(Input!H$8,'Operating Assumptions &amp; Proj'!$105:$105,0))</f>
        <v>0</v>
      </c>
      <c r="I65" s="59">
        <f>INDEX('Operating Assumptions &amp; Proj'!$A$105:$K$174,MATCH(Input!$A65,'Operating Assumptions &amp; Proj'!$A$105:$A$174,0),MATCH(Input!I$8,'Operating Assumptions &amp; Proj'!$105:$105,0))</f>
        <v>0</v>
      </c>
      <c r="J65" s="59">
        <f>INDEX('Operating Assumptions &amp; Proj'!$A$105:$K$174,MATCH(Input!$A65,'Operating Assumptions &amp; Proj'!$A$105:$A$174,0),MATCH(Input!J$8,'Operating Assumptions &amp; Proj'!$105:$105,0))</f>
        <v>0</v>
      </c>
      <c r="K65" s="59">
        <f>INDEX('Operating Assumptions &amp; Proj'!$A$105:$K$174,MATCH(Input!$A65,'Operating Assumptions &amp; Proj'!$A$105:$A$174,0),MATCH(Input!K$8,'Operating Assumptions &amp; Proj'!$105:$105,0))</f>
        <v>0</v>
      </c>
    </row>
    <row r="66" spans="1:11" x14ac:dyDescent="0.2">
      <c r="A66" s="5" t="s">
        <v>237</v>
      </c>
      <c r="B66" s="59">
        <f>INDEX('Operating Assumptions &amp; Proj'!$A$105:$K$174,MATCH(Input!$A66,'Operating Assumptions &amp; Proj'!$A$105:$A$174,0),MATCH(Input!B$8,'Operating Assumptions &amp; Proj'!$105:$105,0))</f>
        <v>1194</v>
      </c>
      <c r="C66" s="59">
        <f>INDEX('Operating Assumptions &amp; Proj'!$A$105:$K$174,MATCH(Input!$A66,'Operating Assumptions &amp; Proj'!$A$105:$A$174,0),MATCH(Input!C$8,'Operating Assumptions &amp; Proj'!$105:$105,0))</f>
        <v>1154</v>
      </c>
      <c r="D66" s="59">
        <f>INDEX('Operating Assumptions &amp; Proj'!$A$105:$K$174,MATCH(Input!$A66,'Operating Assumptions &amp; Proj'!$A$105:$A$174,0),MATCH(Input!D$8,'Operating Assumptions &amp; Proj'!$105:$105,0))</f>
        <v>620</v>
      </c>
      <c r="E66" s="59">
        <f>INDEX('Operating Assumptions &amp; Proj'!$A$105:$K$174,MATCH(Input!$A66,'Operating Assumptions &amp; Proj'!$A$105:$A$174,0),MATCH(Input!E$8,'Operating Assumptions &amp; Proj'!$105:$105,0))</f>
        <v>536</v>
      </c>
      <c r="F66" s="59">
        <f>INDEX('Operating Assumptions &amp; Proj'!$A$105:$K$174,MATCH(Input!$A66,'Operating Assumptions &amp; Proj'!$A$105:$A$174,0),MATCH(Input!F$8,'Operating Assumptions &amp; Proj'!$105:$105,0))</f>
        <v>1255</v>
      </c>
      <c r="G66" s="59">
        <f>INDEX('Operating Assumptions &amp; Proj'!$A$105:$K$174,MATCH(Input!$A66,'Operating Assumptions &amp; Proj'!$A$105:$A$174,0),MATCH(Input!G$8,'Operating Assumptions &amp; Proj'!$105:$105,0))</f>
        <v>411</v>
      </c>
      <c r="H66" s="59">
        <f>INDEX('Operating Assumptions &amp; Proj'!$A$105:$K$174,MATCH(Input!$A66,'Operating Assumptions &amp; Proj'!$A$105:$A$174,0),MATCH(Input!H$8,'Operating Assumptions &amp; Proj'!$105:$105,0))</f>
        <v>411</v>
      </c>
      <c r="I66" s="59">
        <f>INDEX('Operating Assumptions &amp; Proj'!$A$105:$K$174,MATCH(Input!$A66,'Operating Assumptions &amp; Proj'!$A$105:$A$174,0),MATCH(Input!I$8,'Operating Assumptions &amp; Proj'!$105:$105,0))</f>
        <v>411</v>
      </c>
      <c r="J66" s="59">
        <f>INDEX('Operating Assumptions &amp; Proj'!$A$105:$K$174,MATCH(Input!$A66,'Operating Assumptions &amp; Proj'!$A$105:$A$174,0),MATCH(Input!J$8,'Operating Assumptions &amp; Proj'!$105:$105,0))</f>
        <v>411</v>
      </c>
      <c r="K66" s="59">
        <f>INDEX('Operating Assumptions &amp; Proj'!$A$105:$K$174,MATCH(Input!$A66,'Operating Assumptions &amp; Proj'!$A$105:$A$174,0),MATCH(Input!K$8,'Operating Assumptions &amp; Proj'!$105:$105,0))</f>
        <v>411</v>
      </c>
    </row>
    <row r="67" spans="1:11" x14ac:dyDescent="0.2">
      <c r="A67" s="5" t="s">
        <v>238</v>
      </c>
      <c r="B67" s="254">
        <f>INDEX('Operating Assumptions &amp; Proj'!$A$105:$K$174,MATCH(Input!$A67,'Operating Assumptions &amp; Proj'!$A$105:$A$174,0),MATCH(Input!B$8,'Operating Assumptions &amp; Proj'!$105:$105,0))</f>
        <v>39778</v>
      </c>
      <c r="C67" s="254">
        <f>INDEX('Operating Assumptions &amp; Proj'!$A$105:$K$174,MATCH(Input!$A67,'Operating Assumptions &amp; Proj'!$A$105:$A$174,0),MATCH(Input!C$8,'Operating Assumptions &amp; Proj'!$105:$105,0))</f>
        <v>33453</v>
      </c>
      <c r="D67" s="254">
        <f>INDEX('Operating Assumptions &amp; Proj'!$A$105:$K$174,MATCH(Input!$A67,'Operating Assumptions &amp; Proj'!$A$105:$A$174,0),MATCH(Input!D$8,'Operating Assumptions &amp; Proj'!$105:$105,0))</f>
        <v>33707</v>
      </c>
      <c r="E67" s="254">
        <f>INDEX('Operating Assumptions &amp; Proj'!$A$105:$K$174,MATCH(Input!$A67,'Operating Assumptions &amp; Proj'!$A$105:$A$174,0),MATCH(Input!E$8,'Operating Assumptions &amp; Proj'!$105:$105,0))</f>
        <v>33643</v>
      </c>
      <c r="F67" s="254">
        <f>INDEX('Operating Assumptions &amp; Proj'!$A$105:$K$174,MATCH(Input!$A67,'Operating Assumptions &amp; Proj'!$A$105:$A$174,0),MATCH(Input!F$8,'Operating Assumptions &amp; Proj'!$105:$105,0))</f>
        <v>35374</v>
      </c>
      <c r="G67" s="254">
        <f>INDEX('Operating Assumptions &amp; Proj'!$A$105:$K$174,MATCH(Input!$A67,'Operating Assumptions &amp; Proj'!$A$105:$A$174,0),MATCH(Input!G$8,'Operating Assumptions &amp; Proj'!$105:$105,0))</f>
        <v>27228</v>
      </c>
      <c r="H67" s="254">
        <f>INDEX('Operating Assumptions &amp; Proj'!$A$105:$K$174,MATCH(Input!$A67,'Operating Assumptions &amp; Proj'!$A$105:$A$174,0),MATCH(Input!H$8,'Operating Assumptions &amp; Proj'!$105:$105,0))</f>
        <v>66875</v>
      </c>
      <c r="I67" s="254">
        <f>INDEX('Operating Assumptions &amp; Proj'!$A$105:$K$174,MATCH(Input!$A67,'Operating Assumptions &amp; Proj'!$A$105:$A$174,0),MATCH(Input!I$8,'Operating Assumptions &amp; Proj'!$105:$105,0))</f>
        <v>68574.401869651367</v>
      </c>
      <c r="J67" s="254">
        <f>INDEX('Operating Assumptions &amp; Proj'!$A$105:$K$174,MATCH(Input!$A67,'Operating Assumptions &amp; Proj'!$A$105:$A$174,0),MATCH(Input!J$8,'Operating Assumptions &amp; Proj'!$105:$105,0))</f>
        <v>69187.602364629653</v>
      </c>
      <c r="K67" s="254">
        <f>INDEX('Operating Assumptions &amp; Proj'!$A$105:$K$174,MATCH(Input!$A67,'Operating Assumptions &amp; Proj'!$A$105:$A$174,0),MATCH(Input!K$8,'Operating Assumptions &amp; Proj'!$105:$105,0))</f>
        <v>69831.933124752846</v>
      </c>
    </row>
    <row r="68" spans="1:11" x14ac:dyDescent="0.2">
      <c r="B68" s="59"/>
      <c r="C68" s="59"/>
      <c r="D68" s="59"/>
      <c r="E68" s="59"/>
      <c r="F68" s="59"/>
      <c r="G68" s="59"/>
      <c r="H68" s="59"/>
      <c r="I68" s="59"/>
      <c r="J68" s="59"/>
      <c r="K68" s="59"/>
    </row>
    <row r="69" spans="1:11" x14ac:dyDescent="0.2">
      <c r="A69" s="5" t="s">
        <v>245</v>
      </c>
      <c r="B69" s="59">
        <f>INDEX('Operating Assumptions &amp; Proj'!$A$105:$K$174,MATCH(Input!$A69,'Operating Assumptions &amp; Proj'!$A$105:$A$174,0),MATCH(Input!B$8,'Operating Assumptions &amp; Proj'!$105:$105,0))</f>
        <v>-22</v>
      </c>
      <c r="C69" s="59">
        <f>INDEX('Operating Assumptions &amp; Proj'!$A$105:$K$174,MATCH(Input!$A69,'Operating Assumptions &amp; Proj'!$A$105:$A$174,0),MATCH(Input!C$8,'Operating Assumptions &amp; Proj'!$105:$105,0))</f>
        <v>-18</v>
      </c>
      <c r="D69" s="59">
        <f>INDEX('Operating Assumptions &amp; Proj'!$A$105:$K$174,MATCH(Input!$A69,'Operating Assumptions &amp; Proj'!$A$105:$A$174,0),MATCH(Input!D$8,'Operating Assumptions &amp; Proj'!$105:$105,0))</f>
        <v>-16</v>
      </c>
      <c r="E69" s="59">
        <f>INDEX('Operating Assumptions &amp; Proj'!$A$105:$K$174,MATCH(Input!$A69,'Operating Assumptions &amp; Proj'!$A$105:$A$174,0),MATCH(Input!E$8,'Operating Assumptions &amp; Proj'!$105:$105,0))</f>
        <v>-11</v>
      </c>
      <c r="F69" s="59">
        <f>INDEX('Operating Assumptions &amp; Proj'!$A$105:$K$174,MATCH(Input!$A69,'Operating Assumptions &amp; Proj'!$A$105:$A$174,0),MATCH(Input!F$8,'Operating Assumptions &amp; Proj'!$105:$105,0))</f>
        <v>-6</v>
      </c>
      <c r="G69" s="59">
        <f>INDEX('Operating Assumptions &amp; Proj'!$A$105:$K$174,MATCH(Input!$A69,'Operating Assumptions &amp; Proj'!$A$105:$A$174,0),MATCH(Input!G$8,'Operating Assumptions &amp; Proj'!$105:$105,0))</f>
        <v>-4</v>
      </c>
      <c r="H69" s="59">
        <f>INDEX('Operating Assumptions &amp; Proj'!$A$105:$K$174,MATCH(Input!$A69,'Operating Assumptions &amp; Proj'!$A$105:$A$174,0),MATCH(Input!H$8,'Operating Assumptions &amp; Proj'!$105:$105,0))</f>
        <v>0</v>
      </c>
      <c r="I69" s="59">
        <f>INDEX('Operating Assumptions &amp; Proj'!$A$105:$K$174,MATCH(Input!$A69,'Operating Assumptions &amp; Proj'!$A$105:$A$174,0),MATCH(Input!I$8,'Operating Assumptions &amp; Proj'!$105:$105,0))</f>
        <v>0</v>
      </c>
      <c r="J69" s="59">
        <f>INDEX('Operating Assumptions &amp; Proj'!$A$105:$K$174,MATCH(Input!$A69,'Operating Assumptions &amp; Proj'!$A$105:$A$174,0),MATCH(Input!J$8,'Operating Assumptions &amp; Proj'!$105:$105,0))</f>
        <v>0</v>
      </c>
      <c r="K69" s="59">
        <f>INDEX('Operating Assumptions &amp; Proj'!$A$105:$K$174,MATCH(Input!$A69,'Operating Assumptions &amp; Proj'!$A$105:$A$174,0),MATCH(Input!K$8,'Operating Assumptions &amp; Proj'!$105:$105,0))</f>
        <v>0</v>
      </c>
    </row>
    <row r="70" spans="1:11" x14ac:dyDescent="0.2">
      <c r="A70" s="5" t="s">
        <v>246</v>
      </c>
      <c r="B70" s="254">
        <f>INDEX('Operating Assumptions &amp; Proj'!$A$105:$K$174,MATCH(Input!$A70,'Operating Assumptions &amp; Proj'!$A$105:$A$174,0),MATCH(Input!B$8,'Operating Assumptions &amp; Proj'!$105:$105,0))</f>
        <v>13369</v>
      </c>
      <c r="C70" s="254">
        <f>INDEX('Operating Assumptions &amp; Proj'!$A$105:$K$174,MATCH(Input!$A70,'Operating Assumptions &amp; Proj'!$A$105:$A$174,0),MATCH(Input!C$8,'Operating Assumptions &amp; Proj'!$105:$105,0))</f>
        <v>12059</v>
      </c>
      <c r="D70" s="254">
        <f>INDEX('Operating Assumptions &amp; Proj'!$A$105:$K$174,MATCH(Input!$A70,'Operating Assumptions &amp; Proj'!$A$105:$A$174,0),MATCH(Input!D$8,'Operating Assumptions &amp; Proj'!$105:$105,0))</f>
        <v>15644</v>
      </c>
      <c r="E70" s="254">
        <f>INDEX('Operating Assumptions &amp; Proj'!$A$105:$K$174,MATCH(Input!$A70,'Operating Assumptions &amp; Proj'!$A$105:$A$174,0),MATCH(Input!E$8,'Operating Assumptions &amp; Proj'!$105:$105,0))</f>
        <v>12225</v>
      </c>
      <c r="F70" s="254">
        <f>INDEX('Operating Assumptions &amp; Proj'!$A$105:$K$174,MATCH(Input!$A70,'Operating Assumptions &amp; Proj'!$A$105:$A$174,0),MATCH(Input!F$8,'Operating Assumptions &amp; Proj'!$105:$105,0))</f>
        <v>11665</v>
      </c>
      <c r="G70" s="254">
        <f>INDEX('Operating Assumptions &amp; Proj'!$A$105:$K$174,MATCH(Input!$A70,'Operating Assumptions &amp; Proj'!$A$105:$A$174,0),MATCH(Input!G$8,'Operating Assumptions &amp; Proj'!$105:$105,0))</f>
        <v>11662</v>
      </c>
      <c r="H70" s="254">
        <f>INDEX('Operating Assumptions &amp; Proj'!$A$105:$K$174,MATCH(Input!$A70,'Operating Assumptions &amp; Proj'!$A$105:$A$174,0),MATCH(Input!H$8,'Operating Assumptions &amp; Proj'!$105:$105,0))</f>
        <v>18856</v>
      </c>
      <c r="I70" s="254">
        <f>INDEX('Operating Assumptions &amp; Proj'!$A$105:$K$174,MATCH(Input!$A70,'Operating Assumptions &amp; Proj'!$A$105:$A$174,0),MATCH(Input!I$8,'Operating Assumptions &amp; Proj'!$105:$105,0))</f>
        <v>19680.349229759999</v>
      </c>
      <c r="J70" s="254">
        <f>INDEX('Operating Assumptions &amp; Proj'!$A$105:$K$174,MATCH(Input!$A70,'Operating Assumptions &amp; Proj'!$A$105:$A$174,0),MATCH(Input!J$8,'Operating Assumptions &amp; Proj'!$105:$105,0))</f>
        <v>19708.987286964126</v>
      </c>
      <c r="K70" s="254">
        <f>INDEX('Operating Assumptions &amp; Proj'!$A$105:$K$174,MATCH(Input!$A70,'Operating Assumptions &amp; Proj'!$A$105:$A$174,0),MATCH(Input!K$8,'Operating Assumptions &amp; Proj'!$105:$105,0))</f>
        <v>19756.817208469256</v>
      </c>
    </row>
    <row r="71" spans="1:11" x14ac:dyDescent="0.2">
      <c r="B71" s="59"/>
      <c r="C71" s="59"/>
      <c r="D71" s="59"/>
      <c r="E71" s="59"/>
      <c r="F71" s="59"/>
      <c r="G71" s="59"/>
      <c r="H71" s="59"/>
      <c r="I71" s="59"/>
      <c r="J71" s="59"/>
      <c r="K71" s="59"/>
    </row>
    <row r="72" spans="1:11" x14ac:dyDescent="0.2">
      <c r="B72" s="59"/>
      <c r="C72" s="59"/>
      <c r="D72" s="59"/>
      <c r="E72" s="59"/>
      <c r="F72" s="59"/>
      <c r="G72" s="59"/>
      <c r="H72" s="59"/>
      <c r="I72" s="59"/>
      <c r="J72" s="59"/>
      <c r="K72" s="59"/>
    </row>
    <row r="73" spans="1:11" x14ac:dyDescent="0.2">
      <c r="B73" s="59"/>
      <c r="C73" s="59"/>
      <c r="D73" s="59"/>
      <c r="E73" s="59"/>
      <c r="F73" s="59"/>
      <c r="G73" s="59"/>
      <c r="H73" s="59"/>
      <c r="I73" s="59"/>
      <c r="J73" s="59"/>
      <c r="K73" s="59"/>
    </row>
    <row r="74" spans="1:11" x14ac:dyDescent="0.2">
      <c r="A74" s="58" t="s">
        <v>85</v>
      </c>
      <c r="B74" s="59"/>
      <c r="C74" s="59"/>
      <c r="D74" s="59"/>
      <c r="E74" s="59"/>
      <c r="F74" s="59"/>
      <c r="G74" s="59"/>
      <c r="H74" s="59"/>
      <c r="I74" s="59"/>
      <c r="J74" s="59"/>
      <c r="K74" s="59"/>
    </row>
    <row r="75" spans="1:11" x14ac:dyDescent="0.2">
      <c r="A75" s="5" t="s">
        <v>96</v>
      </c>
      <c r="B75" s="59">
        <f>INDEX('Operating Assumptions &amp; Proj'!$A$49:$K$100,MATCH(Input!$A75,'Operating Assumptions &amp; Proj'!$A$49:$A$100,0),MATCH(Input!B$8,'Operating Assumptions &amp; Proj'!$49:$49,0))</f>
        <v>58091</v>
      </c>
      <c r="C75" s="59">
        <f>INDEX('Operating Assumptions &amp; Proj'!$A$49:$K$100,MATCH(Input!$A75,'Operating Assumptions &amp; Proj'!$A$49:$A$100,0),MATCH(Input!C$8,'Operating Assumptions &amp; Proj'!$49:$49,0))</f>
        <v>57887</v>
      </c>
      <c r="D75" s="59">
        <f>INDEX('Operating Assumptions &amp; Proj'!$A$49:$K$100,MATCH(Input!$A75,'Operating Assumptions &amp; Proj'!$A$49:$A$100,0),MATCH(Input!D$8,'Operating Assumptions &amp; Proj'!$49:$49,0))</f>
        <v>61344</v>
      </c>
      <c r="E75" s="59">
        <f>INDEX('Operating Assumptions &amp; Proj'!$A$49:$K$100,MATCH(Input!$A75,'Operating Assumptions &amp; Proj'!$A$49:$A$100,0),MATCH(Input!E$8,'Operating Assumptions &amp; Proj'!$49:$49,0))</f>
        <v>65322</v>
      </c>
      <c r="F75" s="59">
        <f>INDEX('Operating Assumptions &amp; Proj'!$A$49:$K$100,MATCH(Input!$A75,'Operating Assumptions &amp; Proj'!$A$49:$A$100,0),MATCH(Input!F$8,'Operating Assumptions &amp; Proj'!$49:$49,0))</f>
        <v>68187</v>
      </c>
      <c r="G75" s="59">
        <f>INDEX('Operating Assumptions &amp; Proj'!$A$49:$K$100,MATCH(Input!$A75,'Operating Assumptions &amp; Proj'!$A$49:$A$100,0),MATCH(Input!G$8,'Operating Assumptions &amp; Proj'!$49:$49,0))</f>
        <v>69916</v>
      </c>
      <c r="H75" s="59"/>
      <c r="I75" s="59">
        <f>INDEX('Operating Assumptions &amp; Proj'!$A$49:$K$100,MATCH(Input!$A75,'Operating Assumptions &amp; Proj'!$A$49:$A$100,0),MATCH(Input!I$8,'Operating Assumptions &amp; Proj'!$49:$49,0))</f>
        <v>73467.732799999998</v>
      </c>
      <c r="J75" s="59">
        <f>INDEX('Operating Assumptions &amp; Proj'!$A$49:$K$100,MATCH(Input!$A75,'Operating Assumptions &amp; Proj'!$A$49:$A$100,0),MATCH(Input!J$8,'Operating Assumptions &amp; Proj'!$49:$49,0))</f>
        <v>77199.893626239995</v>
      </c>
      <c r="K75" s="59">
        <f>INDEX('Operating Assumptions &amp; Proj'!$A$49:$K$100,MATCH(Input!$A75,'Operating Assumptions &amp; Proj'!$A$49:$A$100,0),MATCH(Input!K$8,'Operating Assumptions &amp; Proj'!$49:$49,0))</f>
        <v>81121.64822245299</v>
      </c>
    </row>
    <row r="76" spans="1:11" x14ac:dyDescent="0.2">
      <c r="A76" s="5" t="s">
        <v>129</v>
      </c>
      <c r="B76" s="59">
        <f>INDEX('Operating Assumptions &amp; Proj'!$A$49:$K$100,MATCH(Input!$A76,'Operating Assumptions &amp; Proj'!$A$49:$A$100,0),MATCH(Input!B$8,'Operating Assumptions &amp; Proj'!$49:$49,0))</f>
        <v>973</v>
      </c>
      <c r="C76" s="59">
        <f>INDEX('Operating Assumptions &amp; Proj'!$A$49:$K$100,MATCH(Input!$A76,'Operating Assumptions &amp; Proj'!$A$49:$A$100,0),MATCH(Input!C$8,'Operating Assumptions &amp; Proj'!$49:$49,0))</f>
        <v>5958</v>
      </c>
      <c r="D76" s="59">
        <f>INDEX('Operating Assumptions &amp; Proj'!$A$49:$K$100,MATCH(Input!$A76,'Operating Assumptions &amp; Proj'!$A$49:$A$100,0),MATCH(Input!D$8,'Operating Assumptions &amp; Proj'!$49:$49,0))</f>
        <v>1483</v>
      </c>
      <c r="E76" s="59">
        <f>INDEX('Operating Assumptions &amp; Proj'!$A$49:$K$100,MATCH(Input!$A76,'Operating Assumptions &amp; Proj'!$A$49:$A$100,0),MATCH(Input!E$8,'Operating Assumptions &amp; Proj'!$49:$49,0))</f>
        <v>736</v>
      </c>
      <c r="F76" s="59">
        <f>INDEX('Operating Assumptions &amp; Proj'!$A$49:$K$100,MATCH(Input!$A76,'Operating Assumptions &amp; Proj'!$A$49:$A$100,0),MATCH(Input!F$8,'Operating Assumptions &amp; Proj'!$49:$49,0))</f>
        <v>1192</v>
      </c>
      <c r="G76" s="59">
        <f>INDEX('Operating Assumptions &amp; Proj'!$A$49:$K$100,MATCH(Input!$A76,'Operating Assumptions &amp; Proj'!$A$49:$A$100,0),MATCH(Input!G$8,'Operating Assumptions &amp; Proj'!$49:$49,0))</f>
        <v>1630</v>
      </c>
      <c r="H76" s="59"/>
      <c r="I76" s="59">
        <f>INDEX('Operating Assumptions &amp; Proj'!$A$49:$K$100,MATCH(Input!$A76,'Operating Assumptions &amp; Proj'!$A$49:$A$100,0),MATCH(Input!I$8,'Operating Assumptions &amp; Proj'!$49:$49,0))</f>
        <v>1688.3492297600001</v>
      </c>
      <c r="J76" s="59">
        <f>INDEX('Operating Assumptions &amp; Proj'!$A$49:$K$100,MATCH(Input!$A76,'Operating Assumptions &amp; Proj'!$A$49:$A$100,0),MATCH(Input!J$8,'Operating Assumptions &amp; Proj'!$49:$49,0))</f>
        <v>1716.9872869641263</v>
      </c>
      <c r="K76" s="59">
        <f>INDEX('Operating Assumptions &amp; Proj'!$A$49:$K$100,MATCH(Input!$A76,'Operating Assumptions &amp; Proj'!$A$49:$A$100,0),MATCH(Input!K$8,'Operating Assumptions &amp; Proj'!$49:$49,0))</f>
        <v>1764.8172084692549</v>
      </c>
    </row>
    <row r="77" spans="1:11" x14ac:dyDescent="0.2">
      <c r="B77" s="59"/>
      <c r="C77" s="59"/>
      <c r="D77" s="59"/>
      <c r="E77" s="59"/>
      <c r="F77" s="59"/>
      <c r="G77" s="59"/>
      <c r="H77" s="59"/>
      <c r="I77" s="59"/>
      <c r="J77" s="59"/>
      <c r="K77" s="59"/>
    </row>
    <row r="78" spans="1:11" x14ac:dyDescent="0.2">
      <c r="A78" s="5" t="s">
        <v>130</v>
      </c>
      <c r="B78" s="59">
        <f>INDEX('Operating Assumptions &amp; Proj'!$A$49:$K$100,MATCH(Input!$A78,'Operating Assumptions &amp; Proj'!$A$49:$A$100,0),MATCH(Input!B$8,'Operating Assumptions &amp; Proj'!$49:$49,0))</f>
        <v>-2</v>
      </c>
      <c r="C78" s="59">
        <f>INDEX('Operating Assumptions &amp; Proj'!$A$49:$K$100,MATCH(Input!$A78,'Operating Assumptions &amp; Proj'!$A$49:$A$100,0),MATCH(Input!C$8,'Operating Assumptions &amp; Proj'!$49:$49,0))</f>
        <v>-4</v>
      </c>
      <c r="D78" s="59">
        <f>INDEX('Operating Assumptions &amp; Proj'!$A$49:$K$100,MATCH(Input!$A78,'Operating Assumptions &amp; Proj'!$A$49:$A$100,0),MATCH(Input!D$8,'Operating Assumptions &amp; Proj'!$49:$49,0))</f>
        <v>-2</v>
      </c>
      <c r="E78" s="59">
        <f>INDEX('Operating Assumptions &amp; Proj'!$A$49:$K$100,MATCH(Input!$A78,'Operating Assumptions &amp; Proj'!$A$49:$A$100,0),MATCH(Input!E$8,'Operating Assumptions &amp; Proj'!$49:$49,0))</f>
        <v>1</v>
      </c>
      <c r="F78" s="59">
        <f>INDEX('Operating Assumptions &amp; Proj'!$A$49:$K$100,MATCH(Input!$A78,'Operating Assumptions &amp; Proj'!$A$49:$A$100,0),MATCH(Input!F$8,'Operating Assumptions &amp; Proj'!$49:$49,0))</f>
        <v>-4</v>
      </c>
      <c r="G78" s="59">
        <f>INDEX('Operating Assumptions &amp; Proj'!$A$49:$K$100,MATCH(Input!$A78,'Operating Assumptions &amp; Proj'!$A$49:$A$100,0),MATCH(Input!G$8,'Operating Assumptions &amp; Proj'!$49:$49,0))</f>
        <v>-4</v>
      </c>
      <c r="H78" s="59"/>
      <c r="I78" s="59">
        <f>INDEX('Operating Assumptions &amp; Proj'!$A$49:$K$100,MATCH(Input!$A78,'Operating Assumptions &amp; Proj'!$A$49:$A$100,0),MATCH(Input!I$8,'Operating Assumptions &amp; Proj'!$49:$49,0))</f>
        <v>0</v>
      </c>
      <c r="J78" s="59">
        <f>INDEX('Operating Assumptions &amp; Proj'!$A$49:$K$100,MATCH(Input!$A78,'Operating Assumptions &amp; Proj'!$A$49:$A$100,0),MATCH(Input!J$8,'Operating Assumptions &amp; Proj'!$49:$49,0))</f>
        <v>0</v>
      </c>
      <c r="K78" s="59">
        <f>INDEX('Operating Assumptions &amp; Proj'!$A$49:$K$100,MATCH(Input!$A78,'Operating Assumptions &amp; Proj'!$A$49:$A$100,0),MATCH(Input!K$8,'Operating Assumptions &amp; Proj'!$49:$49,0))</f>
        <v>0</v>
      </c>
    </row>
    <row r="79" spans="1:11" x14ac:dyDescent="0.2">
      <c r="A79" s="5" t="s">
        <v>131</v>
      </c>
      <c r="B79" s="59">
        <f>INDEX('Operating Assumptions &amp; Proj'!$A$49:$K$100,MATCH(Input!$A79,'Operating Assumptions &amp; Proj'!$A$49:$A$100,0),MATCH(Input!B$8,'Operating Assumptions &amp; Proj'!$49:$49,0))</f>
        <v>971</v>
      </c>
      <c r="C79" s="59">
        <f>INDEX('Operating Assumptions &amp; Proj'!$A$49:$K$100,MATCH(Input!$A79,'Operating Assumptions &amp; Proj'!$A$49:$A$100,0),MATCH(Input!C$8,'Operating Assumptions &amp; Proj'!$49:$49,0))</f>
        <v>5954</v>
      </c>
      <c r="D79" s="59">
        <f>INDEX('Operating Assumptions &amp; Proj'!$A$49:$K$100,MATCH(Input!$A79,'Operating Assumptions &amp; Proj'!$A$49:$A$100,0),MATCH(Input!D$8,'Operating Assumptions &amp; Proj'!$49:$49,0))</f>
        <v>1481</v>
      </c>
      <c r="E79" s="59">
        <f>INDEX('Operating Assumptions &amp; Proj'!$A$49:$K$100,MATCH(Input!$A79,'Operating Assumptions &amp; Proj'!$A$49:$A$100,0),MATCH(Input!E$8,'Operating Assumptions &amp; Proj'!$49:$49,0))</f>
        <v>737</v>
      </c>
      <c r="F79" s="59">
        <f>INDEX('Operating Assumptions &amp; Proj'!$A$49:$K$100,MATCH(Input!$A79,'Operating Assumptions &amp; Proj'!$A$49:$A$100,0),MATCH(Input!F$8,'Operating Assumptions &amp; Proj'!$49:$49,0))</f>
        <v>1188</v>
      </c>
      <c r="G79" s="59">
        <f>INDEX('Operating Assumptions &amp; Proj'!$A$49:$K$100,MATCH(Input!$A79,'Operating Assumptions &amp; Proj'!$A$49:$A$100,0),MATCH(Input!G$8,'Operating Assumptions &amp; Proj'!$49:$49,0))</f>
        <v>1626</v>
      </c>
      <c r="H79" s="59"/>
      <c r="I79" s="59">
        <f>INDEX('Operating Assumptions &amp; Proj'!$A$49:$K$100,MATCH(Input!$A79,'Operating Assumptions &amp; Proj'!$A$49:$A$100,0),MATCH(Input!I$8,'Operating Assumptions &amp; Proj'!$49:$49,0))</f>
        <v>1688.3492297600001</v>
      </c>
      <c r="J79" s="59">
        <f>INDEX('Operating Assumptions &amp; Proj'!$A$49:$K$100,MATCH(Input!$A79,'Operating Assumptions &amp; Proj'!$A$49:$A$100,0),MATCH(Input!J$8,'Operating Assumptions &amp; Proj'!$49:$49,0))</f>
        <v>1716.9872869641263</v>
      </c>
      <c r="K79" s="59">
        <f>INDEX('Operating Assumptions &amp; Proj'!$A$49:$K$100,MATCH(Input!$A79,'Operating Assumptions &amp; Proj'!$A$49:$A$100,0),MATCH(Input!K$8,'Operating Assumptions &amp; Proj'!$49:$49,0))</f>
        <v>1764.8172084692549</v>
      </c>
    </row>
    <row r="80" spans="1:11" x14ac:dyDescent="0.2">
      <c r="B80" s="59"/>
      <c r="C80" s="59"/>
      <c r="D80" s="59"/>
      <c r="E80" s="59"/>
      <c r="F80" s="59"/>
      <c r="G80" s="59"/>
      <c r="H80" s="59"/>
      <c r="I80" s="59"/>
      <c r="J80" s="59"/>
      <c r="K80" s="59"/>
    </row>
    <row r="81" spans="1:11" x14ac:dyDescent="0.2">
      <c r="A81" s="5" t="s">
        <v>108</v>
      </c>
      <c r="B81" s="59">
        <f>INDEX('Operating Assumptions &amp; Proj'!$A$49:$K$100,MATCH(Input!$A81,'Operating Assumptions &amp; Proj'!$A$49:$A$100,0),MATCH(Input!B$8,'Operating Assumptions &amp; Proj'!$49:$49,0))</f>
        <v>2627</v>
      </c>
      <c r="C81" s="59">
        <f>INDEX('Operating Assumptions &amp; Proj'!$A$49:$K$100,MATCH(Input!$A81,'Operating Assumptions &amp; Proj'!$A$49:$A$100,0),MATCH(Input!C$8,'Operating Assumptions &amp; Proj'!$49:$49,0))</f>
        <v>1789</v>
      </c>
      <c r="D81" s="59">
        <f>INDEX('Operating Assumptions &amp; Proj'!$A$49:$K$100,MATCH(Input!$A81,'Operating Assumptions &amp; Proj'!$A$49:$A$100,0),MATCH(Input!D$8,'Operating Assumptions &amp; Proj'!$49:$49,0))</f>
        <v>2870</v>
      </c>
      <c r="E81" s="59">
        <f>INDEX('Operating Assumptions &amp; Proj'!$A$49:$K$100,MATCH(Input!$A81,'Operating Assumptions &amp; Proj'!$A$49:$A$100,0),MATCH(Input!E$8,'Operating Assumptions &amp; Proj'!$49:$49,0))</f>
        <v>2595</v>
      </c>
      <c r="F81" s="59">
        <f>INDEX('Operating Assumptions &amp; Proj'!$A$49:$K$100,MATCH(Input!$A81,'Operating Assumptions &amp; Proj'!$A$49:$A$100,0),MATCH(Input!F$8,'Operating Assumptions &amp; Proj'!$49:$49,0))</f>
        <v>2819</v>
      </c>
      <c r="G81" s="59">
        <f>INDEX('Operating Assumptions &amp; Proj'!$A$49:$K$100,MATCH(Input!$A81,'Operating Assumptions &amp; Proj'!$A$49:$A$100,0),MATCH(Input!G$8,'Operating Assumptions &amp; Proj'!$49:$49,0))</f>
        <v>2999</v>
      </c>
      <c r="H81" s="59"/>
      <c r="I81" s="59">
        <f>INDEX('Operating Assumptions &amp; Proj'!$A$49:$K$100,MATCH(Input!$A81,'Operating Assumptions &amp; Proj'!$A$49:$A$100,0),MATCH(Input!I$8,'Operating Assumptions &amp; Proj'!$49:$49,0))</f>
        <v>3513.4613568</v>
      </c>
      <c r="J81" s="59">
        <f>INDEX('Operating Assumptions &amp; Proj'!$A$49:$K$100,MATCH(Input!$A81,'Operating Assumptions &amp; Proj'!$A$49:$A$100,0),MATCH(Input!J$8,'Operating Assumptions &amp; Proj'!$49:$49,0))</f>
        <v>3730.45650872544</v>
      </c>
      <c r="K81" s="59">
        <f>INDEX('Operating Assumptions &amp; Proj'!$A$49:$K$100,MATCH(Input!$A81,'Operating Assumptions &amp; Proj'!$A$49:$A$100,0),MATCH(Input!K$8,'Operating Assumptions &amp; Proj'!$49:$49,0))</f>
        <v>3959.8229103936928</v>
      </c>
    </row>
    <row r="82" spans="1:11" x14ac:dyDescent="0.2">
      <c r="A82" s="5" t="s">
        <v>104</v>
      </c>
      <c r="B82" s="59">
        <f>INDEX('Operating Assumptions &amp; Proj'!$A$49:$K$100,MATCH(Input!$A82,'Operating Assumptions &amp; Proj'!$A$49:$A$100,0),MATCH(Input!B$8,'Operating Assumptions &amp; Proj'!$49:$49,0))</f>
        <v>0</v>
      </c>
      <c r="C82" s="59">
        <f>INDEX('Operating Assumptions &amp; Proj'!$A$49:$K$100,MATCH(Input!$A82,'Operating Assumptions &amp; Proj'!$A$49:$A$100,0),MATCH(Input!C$8,'Operating Assumptions &amp; Proj'!$49:$49,0))</f>
        <v>0</v>
      </c>
      <c r="D82" s="59">
        <f>INDEX('Operating Assumptions &amp; Proj'!$A$49:$K$100,MATCH(Input!$A82,'Operating Assumptions &amp; Proj'!$A$49:$A$100,0),MATCH(Input!D$8,'Operating Assumptions &amp; Proj'!$49:$49,0))</f>
        <v>0</v>
      </c>
      <c r="E82" s="59">
        <f>INDEX('Operating Assumptions &amp; Proj'!$A$49:$K$100,MATCH(Input!$A82,'Operating Assumptions &amp; Proj'!$A$49:$A$100,0),MATCH(Input!E$8,'Operating Assumptions &amp; Proj'!$49:$49,0))</f>
        <v>0</v>
      </c>
      <c r="F82" s="59">
        <f>INDEX('Operating Assumptions &amp; Proj'!$A$49:$K$100,MATCH(Input!$A82,'Operating Assumptions &amp; Proj'!$A$49:$A$100,0),MATCH(Input!F$8,'Operating Assumptions &amp; Proj'!$49:$49,0))</f>
        <v>0</v>
      </c>
      <c r="G82" s="59">
        <f>INDEX('Operating Assumptions &amp; Proj'!$A$49:$K$100,MATCH(Input!$A82,'Operating Assumptions &amp; Proj'!$A$49:$A$100,0),MATCH(Input!G$8,'Operating Assumptions &amp; Proj'!$49:$49,0))</f>
        <v>0</v>
      </c>
      <c r="H82" s="59"/>
      <c r="I82" s="59">
        <f>INDEX('Operating Assumptions &amp; Proj'!$A$49:$K$100,MATCH(Input!$A82,'Operating Assumptions &amp; Proj'!$A$49:$A$100,0),MATCH(Input!I$8,'Operating Assumptions &amp; Proj'!$49:$49,0))</f>
        <v>0</v>
      </c>
      <c r="J82" s="59">
        <f>INDEX('Operating Assumptions &amp; Proj'!$A$49:$K$100,MATCH(Input!$A82,'Operating Assumptions &amp; Proj'!$A$49:$A$100,0),MATCH(Input!J$8,'Operating Assumptions &amp; Proj'!$49:$49,0))</f>
        <v>0</v>
      </c>
      <c r="K82" s="59">
        <f>INDEX('Operating Assumptions &amp; Proj'!$A$49:$K$100,MATCH(Input!$A82,'Operating Assumptions &amp; Proj'!$A$49:$A$100,0),MATCH(Input!K$8,'Operating Assumptions &amp; Proj'!$49:$49,0))</f>
        <v>0</v>
      </c>
    </row>
    <row r="83" spans="1:11" x14ac:dyDescent="0.2">
      <c r="A83" s="5" t="s">
        <v>105</v>
      </c>
      <c r="B83" s="59">
        <f>INDEX('Operating Assumptions &amp; Proj'!$A$49:$K$100,MATCH(Input!$A83,'Operating Assumptions &amp; Proj'!$A$49:$A$100,0),MATCH(Input!B$8,'Operating Assumptions &amp; Proj'!$49:$49,0))</f>
        <v>0</v>
      </c>
      <c r="C83" s="59">
        <f>INDEX('Operating Assumptions &amp; Proj'!$A$49:$K$100,MATCH(Input!$A83,'Operating Assumptions &amp; Proj'!$A$49:$A$100,0),MATCH(Input!C$8,'Operating Assumptions &amp; Proj'!$49:$49,0))</f>
        <v>0</v>
      </c>
      <c r="D83" s="59">
        <f>INDEX('Operating Assumptions &amp; Proj'!$A$49:$K$100,MATCH(Input!$A83,'Operating Assumptions &amp; Proj'!$A$49:$A$100,0),MATCH(Input!D$8,'Operating Assumptions &amp; Proj'!$49:$49,0))</f>
        <v>0</v>
      </c>
      <c r="E83" s="59">
        <f>INDEX('Operating Assumptions &amp; Proj'!$A$49:$K$100,MATCH(Input!$A83,'Operating Assumptions &amp; Proj'!$A$49:$A$100,0),MATCH(Input!E$8,'Operating Assumptions &amp; Proj'!$49:$49,0))</f>
        <v>0</v>
      </c>
      <c r="F83" s="59">
        <f>INDEX('Operating Assumptions &amp; Proj'!$A$49:$K$100,MATCH(Input!$A83,'Operating Assumptions &amp; Proj'!$A$49:$A$100,0),MATCH(Input!F$8,'Operating Assumptions &amp; Proj'!$49:$49,0))</f>
        <v>0</v>
      </c>
      <c r="G83" s="59">
        <f>INDEX('Operating Assumptions &amp; Proj'!$A$49:$K$100,MATCH(Input!$A83,'Operating Assumptions &amp; Proj'!$A$49:$A$100,0),MATCH(Input!G$8,'Operating Assumptions &amp; Proj'!$49:$49,0))</f>
        <v>0</v>
      </c>
      <c r="H83" s="59"/>
      <c r="I83" s="59">
        <f>INDEX('Operating Assumptions &amp; Proj'!$A$49:$K$100,MATCH(Input!$A83,'Operating Assumptions &amp; Proj'!$A$49:$A$100,0),MATCH(Input!I$8,'Operating Assumptions &amp; Proj'!$49:$49,0))</f>
        <v>0</v>
      </c>
      <c r="J83" s="59">
        <f>INDEX('Operating Assumptions &amp; Proj'!$A$49:$K$100,MATCH(Input!$A83,'Operating Assumptions &amp; Proj'!$A$49:$A$100,0),MATCH(Input!J$8,'Operating Assumptions &amp; Proj'!$49:$49,0))</f>
        <v>0</v>
      </c>
      <c r="K83" s="59">
        <f>INDEX('Operating Assumptions &amp; Proj'!$A$49:$K$100,MATCH(Input!$A83,'Operating Assumptions &amp; Proj'!$A$49:$A$100,0),MATCH(Input!K$8,'Operating Assumptions &amp; Proj'!$49:$49,0))</f>
        <v>0</v>
      </c>
    </row>
    <row r="84" spans="1:11" s="4" customFormat="1" ht="17" thickBot="1" x14ac:dyDescent="0.25">
      <c r="A84" s="4" t="s">
        <v>346</v>
      </c>
      <c r="B84" s="253">
        <f>SUM(B81:B83)</f>
        <v>2627</v>
      </c>
      <c r="C84" s="253">
        <f t="shared" ref="C84:G84" si="20">SUM(C81:C83)</f>
        <v>1789</v>
      </c>
      <c r="D84" s="253">
        <f t="shared" si="20"/>
        <v>2870</v>
      </c>
      <c r="E84" s="253">
        <f t="shared" si="20"/>
        <v>2595</v>
      </c>
      <c r="F84" s="253">
        <f t="shared" si="20"/>
        <v>2819</v>
      </c>
      <c r="G84" s="253">
        <f t="shared" si="20"/>
        <v>2999</v>
      </c>
      <c r="H84" s="253"/>
      <c r="I84" s="253">
        <f t="shared" ref="I84:K84" si="21">SUM(I81:I83)</f>
        <v>3513.4613568</v>
      </c>
      <c r="J84" s="253">
        <f t="shared" si="21"/>
        <v>3730.45650872544</v>
      </c>
      <c r="K84" s="253">
        <f t="shared" si="21"/>
        <v>3959.8229103936928</v>
      </c>
    </row>
    <row r="85" spans="1:11" ht="17" thickTop="1" x14ac:dyDescent="0.2">
      <c r="B85" s="59"/>
      <c r="C85" s="59"/>
      <c r="D85" s="59"/>
      <c r="E85" s="59"/>
      <c r="F85" s="59"/>
      <c r="G85" s="59"/>
      <c r="H85" s="59"/>
      <c r="I85" s="59"/>
      <c r="J85" s="59"/>
      <c r="K85" s="59"/>
    </row>
    <row r="86" spans="1:11" ht="16" customHeight="1" x14ac:dyDescent="0.2">
      <c r="A86" s="5" t="s">
        <v>125</v>
      </c>
      <c r="B86" s="59">
        <f>IF(INDEX('Operating Assumptions &amp; Proj'!$A$49:$K$100,MATCH(Input!$A86,'Operating Assumptions &amp; Proj'!$A$49:$A$100,0),MATCH(Input!B$8,'Operating Assumptions &amp; Proj'!$49:$49,0))&lt;0,0,INDEX('Operating Assumptions &amp; Proj'!$A$49:$K$100,MATCH(Input!$A86,'Operating Assumptions &amp; Proj'!$A$49:$A$100,0),MATCH(Input!B$8,'Operating Assumptions &amp; Proj'!$49:$49,0)))</f>
        <v>290</v>
      </c>
      <c r="C86" s="59">
        <f>IF(INDEX('Operating Assumptions &amp; Proj'!$A$49:$K$100,MATCH(Input!$A86,'Operating Assumptions &amp; Proj'!$A$49:$A$100,0),MATCH(Input!C$8,'Operating Assumptions &amp; Proj'!$49:$49,0))&lt;0,0,INDEX('Operating Assumptions &amp; Proj'!$A$49:$K$100,MATCH(Input!$A86,'Operating Assumptions &amp; Proj'!$A$49:$A$100,0),MATCH(Input!C$8,'Operating Assumptions &amp; Proj'!$49:$49,0)))</f>
        <v>104</v>
      </c>
      <c r="D86" s="59">
        <f>IF(INDEX('Operating Assumptions &amp; Proj'!$A$49:$K$100,MATCH(Input!$A86,'Operating Assumptions &amp; Proj'!$A$49:$A$100,0),MATCH(Input!D$8,'Operating Assumptions &amp; Proj'!$49:$49,0))&lt;0,0,INDEX('Operating Assumptions &amp; Proj'!$A$49:$K$100,MATCH(Input!$A86,'Operating Assumptions &amp; Proj'!$A$49:$A$100,0),MATCH(Input!D$8,'Operating Assumptions &amp; Proj'!$49:$49,0)))</f>
        <v>510</v>
      </c>
      <c r="E86" s="59">
        <f>IF(INDEX('Operating Assumptions &amp; Proj'!$A$49:$K$100,MATCH(Input!$A86,'Operating Assumptions &amp; Proj'!$A$49:$A$100,0),MATCH(Input!E$8,'Operating Assumptions &amp; Proj'!$49:$49,0))&lt;0,0,INDEX('Operating Assumptions &amp; Proj'!$A$49:$K$100,MATCH(Input!$A86,'Operating Assumptions &amp; Proj'!$A$49:$A$100,0),MATCH(Input!E$8,'Operating Assumptions &amp; Proj'!$49:$49,0)))</f>
        <v>224</v>
      </c>
      <c r="F86" s="59">
        <f>IF(INDEX('Operating Assumptions &amp; Proj'!$A$49:$K$100,MATCH(Input!$A86,'Operating Assumptions &amp; Proj'!$A$49:$A$100,0),MATCH(Input!F$8,'Operating Assumptions &amp; Proj'!$49:$49,0))&lt;0,0,INDEX('Operating Assumptions &amp; Proj'!$A$49:$K$100,MATCH(Input!$A86,'Operating Assumptions &amp; Proj'!$A$49:$A$100,0),MATCH(Input!F$8,'Operating Assumptions &amp; Proj'!$49:$49,0)))</f>
        <v>525</v>
      </c>
      <c r="G86" s="59">
        <f>IF(INDEX('Operating Assumptions &amp; Proj'!$A$49:$K$100,MATCH(Input!$A86,'Operating Assumptions &amp; Proj'!$A$49:$A$100,0),MATCH(Input!G$8,'Operating Assumptions &amp; Proj'!$49:$49,0))&lt;0,0,INDEX('Operating Assumptions &amp; Proj'!$A$49:$K$100,MATCH(Input!$A86,'Operating Assumptions &amp; Proj'!$A$49:$A$100,0),MATCH(Input!G$8,'Operating Assumptions &amp; Proj'!$49:$49,0)))</f>
        <v>611</v>
      </c>
      <c r="H86" s="59"/>
      <c r="I86" s="59">
        <f>IF(INDEX('Operating Assumptions &amp; Proj'!$A$49:$K$100,MATCH(Input!$A86,'Operating Assumptions &amp; Proj'!$A$49:$A$100,0),MATCH(Input!I$8,'Operating Assumptions &amp; Proj'!$49:$49,0))&lt;0,0,INDEX('Operating Assumptions &amp; Proj'!$A$49:$K$100,MATCH(Input!$A86,'Operating Assumptions &amp; Proj'!$A$49:$A$100,0),MATCH(Input!I$8,'Operating Assumptions &amp; Proj'!$49:$49,0)))</f>
        <v>711.86932704000003</v>
      </c>
      <c r="J86" s="59">
        <f>IF(INDEX('Operating Assumptions &amp; Proj'!$A$49:$K$100,MATCH(Input!$A86,'Operating Assumptions &amp; Proj'!$A$49:$A$100,0),MATCH(Input!J$8,'Operating Assumptions &amp; Proj'!$49:$49,0))&lt;0,0,INDEX('Operating Assumptions &amp; Proj'!$A$49:$K$100,MATCH(Input!$A86,'Operating Assumptions &amp; Proj'!$A$49:$A$100,0),MATCH(Input!J$8,'Operating Assumptions &amp; Proj'!$49:$49,0)))</f>
        <v>776.36168752131357</v>
      </c>
      <c r="K86" s="59">
        <f>IF(INDEX('Operating Assumptions &amp; Proj'!$A$49:$K$100,MATCH(Input!$A86,'Operating Assumptions &amp; Proj'!$A$49:$A$100,0),MATCH(Input!K$8,'Operating Assumptions &amp; Proj'!$49:$49,0))&lt;0,0,INDEX('Operating Assumptions &amp; Proj'!$A$49:$K$100,MATCH(Input!$A86,'Operating Assumptions &amp; Proj'!$A$49:$A$100,0),MATCH(Input!K$8,'Operating Assumptions &amp; Proj'!$49:$49,0)))</f>
        <v>854.37990494504663</v>
      </c>
    </row>
    <row r="87" spans="1:11" s="4" customFormat="1" ht="17" thickBot="1" x14ac:dyDescent="0.25">
      <c r="A87" s="4" t="s">
        <v>347</v>
      </c>
      <c r="B87" s="253">
        <f t="shared" ref="B87:G87" si="22">B84-B86</f>
        <v>2337</v>
      </c>
      <c r="C87" s="253">
        <f t="shared" si="22"/>
        <v>1685</v>
      </c>
      <c r="D87" s="253">
        <f t="shared" si="22"/>
        <v>2360</v>
      </c>
      <c r="E87" s="253">
        <f t="shared" si="22"/>
        <v>2371</v>
      </c>
      <c r="F87" s="253">
        <f t="shared" si="22"/>
        <v>2294</v>
      </c>
      <c r="G87" s="253">
        <f t="shared" si="22"/>
        <v>2388</v>
      </c>
      <c r="H87" s="253"/>
      <c r="I87" s="253">
        <f t="shared" ref="I87:K87" si="23">I84-I86</f>
        <v>2801.5920297600001</v>
      </c>
      <c r="J87" s="253">
        <f t="shared" si="23"/>
        <v>2954.0948212041267</v>
      </c>
      <c r="K87" s="253">
        <f t="shared" si="23"/>
        <v>3105.4430054486461</v>
      </c>
    </row>
    <row r="88" spans="1:11" ht="17" thickTop="1" x14ac:dyDescent="0.2">
      <c r="A88" s="4" t="s">
        <v>792</v>
      </c>
      <c r="B88" s="59"/>
      <c r="C88" s="59"/>
      <c r="D88" s="59"/>
      <c r="E88" s="59"/>
      <c r="F88" s="59"/>
      <c r="G88" s="59"/>
      <c r="H88" s="59"/>
      <c r="I88" s="59"/>
      <c r="J88" s="59"/>
      <c r="K88" s="59"/>
    </row>
    <row r="89" spans="1:11" x14ac:dyDescent="0.2">
      <c r="A89" s="2" t="s">
        <v>793</v>
      </c>
      <c r="B89" s="59">
        <f>-SUM(B82:B83)</f>
        <v>0</v>
      </c>
      <c r="C89" s="59">
        <f t="shared" ref="C89:G89" si="24">-SUM(C82:C83)</f>
        <v>0</v>
      </c>
      <c r="D89" s="59">
        <f t="shared" si="24"/>
        <v>0</v>
      </c>
      <c r="E89" s="59">
        <f t="shared" si="24"/>
        <v>0</v>
      </c>
      <c r="F89" s="59">
        <f t="shared" si="24"/>
        <v>0</v>
      </c>
      <c r="G89" s="59">
        <f t="shared" si="24"/>
        <v>0</v>
      </c>
      <c r="H89" s="59"/>
      <c r="I89" s="59">
        <f t="shared" ref="I89:K89" si="25">-SUM(I82:I83)</f>
        <v>0</v>
      </c>
      <c r="J89" s="59">
        <f t="shared" si="25"/>
        <v>0</v>
      </c>
      <c r="K89" s="59">
        <f t="shared" si="25"/>
        <v>0</v>
      </c>
    </row>
    <row r="90" spans="1:11" x14ac:dyDescent="0.2">
      <c r="A90" s="52" t="s">
        <v>348</v>
      </c>
      <c r="B90" s="60">
        <v>0</v>
      </c>
      <c r="C90" s="60">
        <v>0</v>
      </c>
      <c r="D90" s="60">
        <v>0</v>
      </c>
      <c r="E90" s="60">
        <v>0</v>
      </c>
      <c r="F90" s="60">
        <v>0</v>
      </c>
      <c r="G90" s="60">
        <v>0</v>
      </c>
      <c r="H90" s="60"/>
      <c r="I90" s="60">
        <v>0</v>
      </c>
      <c r="J90" s="60">
        <v>0</v>
      </c>
      <c r="K90" s="60">
        <v>0</v>
      </c>
    </row>
    <row r="91" spans="1:11" ht="17" thickBot="1" x14ac:dyDescent="0.25">
      <c r="A91" s="4" t="s">
        <v>349</v>
      </c>
      <c r="B91" s="253">
        <f t="shared" ref="B91:G91" si="26">B87+B89</f>
        <v>2337</v>
      </c>
      <c r="C91" s="253">
        <f t="shared" si="26"/>
        <v>1685</v>
      </c>
      <c r="D91" s="253">
        <f t="shared" si="26"/>
        <v>2360</v>
      </c>
      <c r="E91" s="253">
        <f t="shared" si="26"/>
        <v>2371</v>
      </c>
      <c r="F91" s="253">
        <f t="shared" si="26"/>
        <v>2294</v>
      </c>
      <c r="G91" s="253">
        <f t="shared" si="26"/>
        <v>2388</v>
      </c>
      <c r="H91" s="253"/>
      <c r="I91" s="253">
        <f t="shared" ref="I91:K91" si="27">I87+I89</f>
        <v>2801.5920297600001</v>
      </c>
      <c r="J91" s="253">
        <f t="shared" si="27"/>
        <v>2954.0948212041267</v>
      </c>
      <c r="K91" s="253">
        <f t="shared" si="27"/>
        <v>3105.4430054486461</v>
      </c>
    </row>
    <row r="92" spans="1:11" ht="17" thickTop="1" x14ac:dyDescent="0.2"/>
    <row r="93" spans="1:11" x14ac:dyDescent="0.2">
      <c r="A93" s="4" t="s">
        <v>350</v>
      </c>
      <c r="B93" s="61">
        <v>0</v>
      </c>
      <c r="C93" s="61">
        <v>0</v>
      </c>
      <c r="D93" s="61">
        <v>0</v>
      </c>
      <c r="E93" s="61">
        <v>0</v>
      </c>
      <c r="F93" s="61">
        <v>0</v>
      </c>
      <c r="G93" s="61">
        <v>0</v>
      </c>
      <c r="H93" s="61">
        <v>0</v>
      </c>
      <c r="I93" s="61">
        <v>0</v>
      </c>
      <c r="J93" s="61">
        <v>0</v>
      </c>
      <c r="K93" s="61">
        <v>0</v>
      </c>
    </row>
    <row r="94" spans="1:11" x14ac:dyDescent="0.2">
      <c r="A94" s="4" t="s">
        <v>902</v>
      </c>
      <c r="B94" s="61">
        <v>0</v>
      </c>
      <c r="C94" s="61">
        <v>0</v>
      </c>
      <c r="D94" s="61">
        <v>0</v>
      </c>
      <c r="E94" s="61">
        <v>0</v>
      </c>
      <c r="F94" s="61">
        <v>0</v>
      </c>
      <c r="G94" s="61">
        <v>0</v>
      </c>
      <c r="H94" s="61">
        <v>0</v>
      </c>
      <c r="I94" s="61">
        <v>0</v>
      </c>
      <c r="J94" s="61">
        <v>0</v>
      </c>
      <c r="K94" s="61">
        <v>0</v>
      </c>
    </row>
    <row r="95" spans="1:11" x14ac:dyDescent="0.2">
      <c r="A95" s="2" t="s">
        <v>351</v>
      </c>
      <c r="B95" s="62">
        <v>5</v>
      </c>
      <c r="C95" s="62">
        <v>5</v>
      </c>
      <c r="D95" s="62">
        <v>5</v>
      </c>
      <c r="E95" s="62">
        <v>5</v>
      </c>
      <c r="F95" s="62">
        <v>5</v>
      </c>
      <c r="G95" s="62">
        <v>5</v>
      </c>
      <c r="H95" s="62">
        <v>5</v>
      </c>
      <c r="I95" s="62">
        <v>5</v>
      </c>
      <c r="J95" s="62">
        <v>5</v>
      </c>
      <c r="K95" s="62">
        <v>5</v>
      </c>
    </row>
    <row r="96" spans="1:11" x14ac:dyDescent="0.2">
      <c r="A96" s="2" t="s">
        <v>352</v>
      </c>
      <c r="B96" s="61">
        <v>0.04</v>
      </c>
      <c r="C96" s="61">
        <v>0.04</v>
      </c>
      <c r="D96" s="61">
        <v>0.04</v>
      </c>
      <c r="E96" s="61">
        <v>0.04</v>
      </c>
      <c r="F96" s="61">
        <v>0.04</v>
      </c>
      <c r="G96" s="61">
        <v>0.04</v>
      </c>
      <c r="H96" s="61">
        <v>0.04</v>
      </c>
      <c r="I96" s="61">
        <v>0.04</v>
      </c>
      <c r="J96" s="61">
        <v>0.04</v>
      </c>
      <c r="K96" s="61">
        <v>0.04</v>
      </c>
    </row>
    <row r="98" spans="1:11" x14ac:dyDescent="0.2">
      <c r="A98" s="4" t="s">
        <v>353</v>
      </c>
    </row>
    <row r="99" spans="1:11" x14ac:dyDescent="0.2">
      <c r="A99" s="63">
        <v>0</v>
      </c>
      <c r="B99" s="63">
        <v>0</v>
      </c>
      <c r="C99" s="63">
        <v>0</v>
      </c>
      <c r="D99" s="63">
        <v>0</v>
      </c>
      <c r="E99" s="63">
        <v>0</v>
      </c>
      <c r="F99" s="63">
        <v>0</v>
      </c>
      <c r="G99" s="63">
        <v>0</v>
      </c>
      <c r="H99" s="63">
        <v>0</v>
      </c>
      <c r="I99" s="63">
        <v>0</v>
      </c>
      <c r="J99" s="63">
        <v>0</v>
      </c>
      <c r="K99" s="63">
        <v>0</v>
      </c>
    </row>
    <row r="100" spans="1:11" x14ac:dyDescent="0.2">
      <c r="A100" s="63">
        <v>0</v>
      </c>
      <c r="B100" s="63">
        <v>0</v>
      </c>
      <c r="C100" s="63">
        <v>0</v>
      </c>
      <c r="D100" s="63">
        <v>0</v>
      </c>
      <c r="E100" s="63">
        <v>0</v>
      </c>
      <c r="F100" s="63">
        <v>0</v>
      </c>
      <c r="G100" s="63">
        <v>0</v>
      </c>
      <c r="H100" s="63">
        <v>0</v>
      </c>
      <c r="I100" s="63">
        <v>0</v>
      </c>
      <c r="J100" s="63">
        <v>0</v>
      </c>
      <c r="K100" s="63">
        <v>0</v>
      </c>
    </row>
    <row r="101" spans="1:11" x14ac:dyDescent="0.2">
      <c r="A101" s="63">
        <v>0</v>
      </c>
      <c r="B101" s="63">
        <v>0</v>
      </c>
      <c r="C101" s="63">
        <v>0</v>
      </c>
      <c r="D101" s="63">
        <v>0</v>
      </c>
      <c r="E101" s="63">
        <v>0</v>
      </c>
      <c r="F101" s="63">
        <v>0</v>
      </c>
      <c r="G101" s="63">
        <v>0</v>
      </c>
      <c r="H101" s="63">
        <v>0</v>
      </c>
      <c r="I101" s="63">
        <v>0</v>
      </c>
      <c r="J101" s="63">
        <v>0</v>
      </c>
      <c r="K101" s="63">
        <v>0</v>
      </c>
    </row>
    <row r="102" spans="1:11" x14ac:dyDescent="0.2">
      <c r="A102" s="63">
        <v>0</v>
      </c>
      <c r="B102" s="63">
        <v>0</v>
      </c>
      <c r="C102" s="63">
        <v>0</v>
      </c>
      <c r="D102" s="63">
        <v>0</v>
      </c>
      <c r="E102" s="63">
        <v>0</v>
      </c>
      <c r="F102" s="63">
        <v>0</v>
      </c>
      <c r="G102" s="63">
        <v>0</v>
      </c>
      <c r="H102" s="63">
        <v>0</v>
      </c>
      <c r="I102" s="63">
        <v>0</v>
      </c>
      <c r="J102" s="63">
        <v>0</v>
      </c>
      <c r="K102" s="63">
        <v>0</v>
      </c>
    </row>
    <row r="103" spans="1:11" x14ac:dyDescent="0.2">
      <c r="A103" s="63">
        <v>0</v>
      </c>
      <c r="B103" s="63">
        <v>0</v>
      </c>
      <c r="C103" s="63">
        <v>0</v>
      </c>
      <c r="D103" s="63">
        <v>0</v>
      </c>
      <c r="E103" s="63">
        <v>0</v>
      </c>
      <c r="F103" s="63">
        <v>0</v>
      </c>
      <c r="G103" s="63">
        <v>0</v>
      </c>
      <c r="H103" s="63">
        <v>0</v>
      </c>
      <c r="I103" s="63">
        <v>0</v>
      </c>
      <c r="J103" s="63">
        <v>0</v>
      </c>
      <c r="K103" s="63">
        <v>0</v>
      </c>
    </row>
    <row r="104" spans="1:11" s="4" customFormat="1" x14ac:dyDescent="0.2">
      <c r="A104" s="4" t="s">
        <v>354</v>
      </c>
      <c r="B104" s="4">
        <f t="shared" ref="B104:G104" si="28">SUM(B99:B103)</f>
        <v>0</v>
      </c>
      <c r="C104" s="4">
        <f t="shared" si="28"/>
        <v>0</v>
      </c>
      <c r="D104" s="4">
        <f t="shared" si="28"/>
        <v>0</v>
      </c>
      <c r="E104" s="4">
        <f t="shared" si="28"/>
        <v>0</v>
      </c>
      <c r="F104" s="4">
        <f t="shared" si="28"/>
        <v>0</v>
      </c>
      <c r="G104" s="4">
        <f t="shared" si="28"/>
        <v>0</v>
      </c>
      <c r="H104" s="4">
        <f t="shared" ref="H104:K104" si="29">SUM(H99:H103)</f>
        <v>0</v>
      </c>
      <c r="I104" s="4">
        <f t="shared" si="29"/>
        <v>0</v>
      </c>
      <c r="J104" s="4">
        <f t="shared" si="29"/>
        <v>0</v>
      </c>
      <c r="K104" s="4">
        <f t="shared" si="29"/>
        <v>0</v>
      </c>
    </row>
    <row r="106" spans="1:11" x14ac:dyDescent="0.2">
      <c r="A106" s="4" t="s">
        <v>355</v>
      </c>
    </row>
    <row r="107" spans="1:11" x14ac:dyDescent="0.2">
      <c r="A107" s="2" t="s">
        <v>356</v>
      </c>
      <c r="B107" s="63">
        <v>0</v>
      </c>
      <c r="C107" s="63">
        <v>0</v>
      </c>
      <c r="D107" s="63">
        <v>0</v>
      </c>
      <c r="E107" s="63">
        <v>0</v>
      </c>
      <c r="F107" s="63">
        <v>0</v>
      </c>
      <c r="G107" s="63">
        <v>0</v>
      </c>
      <c r="H107" s="63">
        <v>0</v>
      </c>
      <c r="I107" s="63">
        <v>0</v>
      </c>
      <c r="J107" s="63">
        <v>0</v>
      </c>
      <c r="K107" s="63">
        <v>0</v>
      </c>
    </row>
    <row r="108" spans="1:11" x14ac:dyDescent="0.2">
      <c r="A108" s="2" t="s">
        <v>357</v>
      </c>
      <c r="B108" s="63">
        <v>0</v>
      </c>
      <c r="C108" s="63">
        <v>0</v>
      </c>
      <c r="D108" s="63">
        <v>0</v>
      </c>
      <c r="E108" s="63">
        <v>0</v>
      </c>
      <c r="F108" s="63">
        <v>0</v>
      </c>
      <c r="G108" s="63">
        <v>0</v>
      </c>
      <c r="H108" s="63">
        <v>0</v>
      </c>
      <c r="I108" s="63">
        <v>0</v>
      </c>
      <c r="J108" s="63">
        <v>0</v>
      </c>
      <c r="K108" s="63">
        <v>0</v>
      </c>
    </row>
    <row r="109" spans="1:11" x14ac:dyDescent="0.2">
      <c r="A109" s="2" t="s">
        <v>358</v>
      </c>
      <c r="B109" s="63">
        <v>0</v>
      </c>
      <c r="C109" s="63">
        <v>0</v>
      </c>
      <c r="D109" s="63">
        <v>0</v>
      </c>
      <c r="E109" s="63">
        <v>0</v>
      </c>
      <c r="F109" s="63">
        <v>0</v>
      </c>
      <c r="G109" s="63">
        <v>0</v>
      </c>
      <c r="H109" s="63">
        <v>0</v>
      </c>
      <c r="I109" s="63">
        <v>0</v>
      </c>
      <c r="J109" s="63">
        <v>0</v>
      </c>
      <c r="K109" s="63">
        <v>0</v>
      </c>
    </row>
    <row r="110" spans="1:11" x14ac:dyDescent="0.2">
      <c r="A110" s="63">
        <v>0</v>
      </c>
      <c r="B110" s="63">
        <v>0</v>
      </c>
      <c r="C110" s="63">
        <v>0</v>
      </c>
      <c r="D110" s="63">
        <v>0</v>
      </c>
      <c r="E110" s="63">
        <v>0</v>
      </c>
      <c r="F110" s="63">
        <v>0</v>
      </c>
      <c r="G110" s="63">
        <v>0</v>
      </c>
      <c r="H110" s="63">
        <v>0</v>
      </c>
      <c r="I110" s="63">
        <v>0</v>
      </c>
      <c r="J110" s="63">
        <v>0</v>
      </c>
      <c r="K110" s="63">
        <v>0</v>
      </c>
    </row>
    <row r="111" spans="1:11" x14ac:dyDescent="0.2">
      <c r="A111" s="63">
        <v>0</v>
      </c>
      <c r="B111" s="63">
        <v>0</v>
      </c>
      <c r="C111" s="63">
        <v>0</v>
      </c>
      <c r="D111" s="63">
        <v>0</v>
      </c>
      <c r="E111" s="63">
        <v>0</v>
      </c>
      <c r="F111" s="63">
        <v>0</v>
      </c>
      <c r="G111" s="63">
        <v>0</v>
      </c>
      <c r="H111" s="63">
        <v>0</v>
      </c>
      <c r="I111" s="63">
        <v>0</v>
      </c>
      <c r="J111" s="63">
        <v>0</v>
      </c>
      <c r="K111" s="63">
        <v>0</v>
      </c>
    </row>
    <row r="112" spans="1:11" x14ac:dyDescent="0.2">
      <c r="A112" s="4" t="s">
        <v>354</v>
      </c>
      <c r="B112" s="4">
        <f t="shared" ref="B112:G112" si="30">SUM(B107:B111)</f>
        <v>0</v>
      </c>
      <c r="C112" s="4">
        <f t="shared" si="30"/>
        <v>0</v>
      </c>
      <c r="D112" s="4">
        <f t="shared" si="30"/>
        <v>0</v>
      </c>
      <c r="E112" s="4">
        <f t="shared" si="30"/>
        <v>0</v>
      </c>
      <c r="F112" s="4">
        <f t="shared" si="30"/>
        <v>0</v>
      </c>
      <c r="G112" s="4">
        <f t="shared" si="30"/>
        <v>0</v>
      </c>
      <c r="H112" s="4">
        <f t="shared" ref="H112:K112" si="31">SUM(H107:H111)</f>
        <v>0</v>
      </c>
      <c r="I112" s="4">
        <f t="shared" si="31"/>
        <v>0</v>
      </c>
      <c r="J112" s="4">
        <f t="shared" si="31"/>
        <v>0</v>
      </c>
      <c r="K112" s="4">
        <f t="shared" si="31"/>
        <v>0</v>
      </c>
    </row>
    <row r="114" spans="1:1" x14ac:dyDescent="0.2">
      <c r="A114" s="4" t="s">
        <v>359</v>
      </c>
    </row>
  </sheetData>
  <mergeCells count="2">
    <mergeCell ref="B7:G7"/>
    <mergeCell ref="I7:K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DE136-D68E-5E4A-B37B-DB7541C5D510}">
  <dimension ref="A1:N30"/>
  <sheetViews>
    <sheetView topLeftCell="A5" zoomScale="125" zoomScaleNormal="125" workbookViewId="0">
      <pane xSplit="1" topLeftCell="C1" activePane="topRight" state="frozen"/>
      <selection activeCell="A2" sqref="A2"/>
      <selection pane="topRight" activeCell="F9" sqref="F9"/>
    </sheetView>
  </sheetViews>
  <sheetFormatPr baseColWidth="10" defaultRowHeight="16" x14ac:dyDescent="0.2"/>
  <cols>
    <col min="1" max="1" width="26" style="2" bestFit="1" customWidth="1"/>
    <col min="2" max="2" width="16.1640625" style="2" bestFit="1" customWidth="1"/>
    <col min="3" max="3" width="11" style="2" bestFit="1" customWidth="1"/>
    <col min="4" max="4" width="13" style="2" bestFit="1" customWidth="1"/>
    <col min="5" max="5" width="11" style="2" bestFit="1" customWidth="1"/>
    <col min="6" max="7" width="13" style="2" bestFit="1" customWidth="1"/>
    <col min="13" max="16384" width="10.83203125" style="2"/>
  </cols>
  <sheetData>
    <row r="1" spans="1:14" x14ac:dyDescent="0.2">
      <c r="A1" s="4" t="str">
        <f>Input!A1</f>
        <v>Borrower</v>
      </c>
      <c r="B1" s="4" t="str">
        <f>Input!B1</f>
        <v>Tesco PLC (LSE: TSCO)</v>
      </c>
    </row>
    <row r="2" spans="1:14" x14ac:dyDescent="0.2">
      <c r="A2" s="2" t="s">
        <v>683</v>
      </c>
    </row>
    <row r="4" spans="1:14" ht="17" thickBot="1" x14ac:dyDescent="0.25"/>
    <row r="5" spans="1:14" ht="17" thickBot="1" x14ac:dyDescent="0.25">
      <c r="B5" s="263" t="s">
        <v>6</v>
      </c>
      <c r="C5" s="264"/>
      <c r="D5" s="264"/>
      <c r="E5" s="264"/>
      <c r="F5" s="264"/>
      <c r="G5" s="265"/>
      <c r="I5" s="260" t="s">
        <v>790</v>
      </c>
      <c r="J5" s="261"/>
      <c r="K5" s="262"/>
      <c r="L5" s="229"/>
    </row>
    <row r="6" spans="1:14" s="4" customFormat="1" ht="17" customHeight="1" x14ac:dyDescent="0.2">
      <c r="A6" s="55"/>
      <c r="B6" s="197">
        <f>Input!B8</f>
        <v>2020</v>
      </c>
      <c r="C6" s="197">
        <f>Input!C8</f>
        <v>2021</v>
      </c>
      <c r="D6" s="197">
        <f>Input!D8</f>
        <v>2022</v>
      </c>
      <c r="E6" s="197">
        <f>Input!E8</f>
        <v>2023</v>
      </c>
      <c r="F6" s="197">
        <f>Input!F8</f>
        <v>2024</v>
      </c>
      <c r="G6" s="197">
        <f>Input!G8</f>
        <v>2025</v>
      </c>
      <c r="H6" s="197" t="str">
        <f>Input!H8</f>
        <v>Pro-Forma</v>
      </c>
      <c r="I6" s="197">
        <f>Input!I8</f>
        <v>2026</v>
      </c>
      <c r="J6" s="197">
        <f>Input!J8</f>
        <v>2027</v>
      </c>
      <c r="K6" s="197">
        <f>Input!K8</f>
        <v>2028</v>
      </c>
      <c r="L6" s="197"/>
    </row>
    <row r="7" spans="1:14" ht="17" x14ac:dyDescent="0.2">
      <c r="A7" s="205" t="str">
        <f>Input!A9</f>
        <v>Periods</v>
      </c>
      <c r="B7" s="38">
        <f>Input!B9</f>
        <v>12</v>
      </c>
      <c r="C7" s="38">
        <f>Input!C9</f>
        <v>12</v>
      </c>
      <c r="D7" s="38">
        <f>Input!D9</f>
        <v>12</v>
      </c>
      <c r="E7" s="38">
        <f>Input!E9</f>
        <v>12</v>
      </c>
      <c r="F7" s="38">
        <f>Input!F9</f>
        <v>12</v>
      </c>
      <c r="G7" s="38">
        <f>Input!G9</f>
        <v>12</v>
      </c>
      <c r="H7" s="38"/>
      <c r="I7" s="38">
        <f>Input!I9</f>
        <v>12</v>
      </c>
      <c r="J7" s="38">
        <f>Input!J9</f>
        <v>12</v>
      </c>
      <c r="K7" s="38">
        <f>Input!K9</f>
        <v>12</v>
      </c>
      <c r="L7" s="38"/>
    </row>
    <row r="8" spans="1:14" x14ac:dyDescent="0.2">
      <c r="A8" s="2" t="str">
        <f>Input!A93</f>
        <v>ROE as per Source Doc</v>
      </c>
      <c r="B8" s="64">
        <f>Input!B93</f>
        <v>0</v>
      </c>
      <c r="C8" s="64">
        <f>Input!C93</f>
        <v>0</v>
      </c>
      <c r="D8" s="64">
        <f>Input!D93</f>
        <v>0</v>
      </c>
      <c r="E8" s="64">
        <f>Input!E93</f>
        <v>0</v>
      </c>
      <c r="F8" s="64">
        <f>Input!F93</f>
        <v>0</v>
      </c>
      <c r="G8" s="64">
        <f>Input!G93</f>
        <v>0</v>
      </c>
      <c r="H8" s="64"/>
      <c r="I8" s="64">
        <f>Input!I93</f>
        <v>0</v>
      </c>
      <c r="J8" s="64">
        <f>Input!J93</f>
        <v>0</v>
      </c>
      <c r="K8" s="64">
        <f>Input!K93</f>
        <v>0</v>
      </c>
      <c r="L8" s="64"/>
    </row>
    <row r="9" spans="1:14" x14ac:dyDescent="0.2">
      <c r="A9" s="2" t="s">
        <v>684</v>
      </c>
      <c r="B9" s="64">
        <f t="shared" ref="B9:G9" si="0">B15*B19*B23</f>
        <v>7.263071284314461E-2</v>
      </c>
      <c r="C9" s="64">
        <f t="shared" si="0"/>
        <v>0.49373911601293635</v>
      </c>
      <c r="D9" s="64">
        <f t="shared" si="0"/>
        <v>9.466888263871133E-2</v>
      </c>
      <c r="E9" s="64">
        <f t="shared" si="0"/>
        <v>6.028629856850716E-2</v>
      </c>
      <c r="F9" s="64">
        <f t="shared" si="0"/>
        <v>0.10184312044577795</v>
      </c>
      <c r="G9" s="64">
        <f t="shared" si="0"/>
        <v>0.13942719945120904</v>
      </c>
      <c r="H9" s="64"/>
      <c r="I9" s="64">
        <f t="shared" ref="I9:K9" si="1">I15*I19*I23</f>
        <v>8.5788580784274496E-2</v>
      </c>
      <c r="J9" s="64">
        <f t="shared" si="1"/>
        <v>8.7116971661946929E-2</v>
      </c>
      <c r="K9" s="64">
        <f t="shared" si="1"/>
        <v>8.9326999882993405E-2</v>
      </c>
      <c r="L9" s="64"/>
    </row>
    <row r="10" spans="1:14" x14ac:dyDescent="0.2">
      <c r="A10" s="2" t="s">
        <v>685</v>
      </c>
      <c r="B10" s="64">
        <f>Input!B94</f>
        <v>0</v>
      </c>
      <c r="C10" s="64">
        <f>Input!C94</f>
        <v>0</v>
      </c>
      <c r="D10" s="64">
        <f>Input!D94</f>
        <v>0</v>
      </c>
      <c r="E10" s="64">
        <f>Input!E94</f>
        <v>0</v>
      </c>
      <c r="F10" s="64">
        <f>Input!F94</f>
        <v>0</v>
      </c>
      <c r="G10" s="64">
        <f>Input!G94</f>
        <v>0</v>
      </c>
      <c r="H10" s="64"/>
      <c r="I10" s="64">
        <f>Input!I94</f>
        <v>0</v>
      </c>
      <c r="J10" s="64">
        <f>Input!J94</f>
        <v>0</v>
      </c>
      <c r="K10" s="64">
        <f>Input!K94</f>
        <v>0</v>
      </c>
      <c r="L10" s="64"/>
    </row>
    <row r="12" spans="1:14" x14ac:dyDescent="0.2">
      <c r="A12" s="4" t="s">
        <v>686</v>
      </c>
    </row>
    <row r="13" spans="1:14" x14ac:dyDescent="0.2">
      <c r="A13" s="65" t="s">
        <v>687</v>
      </c>
      <c r="B13" s="59">
        <f>Input!B79</f>
        <v>971</v>
      </c>
      <c r="C13" s="59">
        <f>Input!C79</f>
        <v>5954</v>
      </c>
      <c r="D13" s="59">
        <f>Input!D79</f>
        <v>1481</v>
      </c>
      <c r="E13" s="59">
        <f>Input!E79</f>
        <v>737</v>
      </c>
      <c r="F13" s="59">
        <f>Input!F79</f>
        <v>1188</v>
      </c>
      <c r="G13" s="59">
        <f>Input!G79</f>
        <v>1626</v>
      </c>
      <c r="H13" s="59"/>
      <c r="I13" s="59">
        <f>Input!I79</f>
        <v>1688.3492297600001</v>
      </c>
      <c r="J13" s="59">
        <f>Input!J79</f>
        <v>1716.9872869641263</v>
      </c>
      <c r="K13" s="59">
        <f>Input!K79</f>
        <v>1764.8172084692549</v>
      </c>
      <c r="L13" s="59"/>
    </row>
    <row r="14" spans="1:14" ht="17" thickBot="1" x14ac:dyDescent="0.25">
      <c r="A14" s="65" t="s">
        <v>92</v>
      </c>
      <c r="B14" s="59">
        <f>Input!B75</f>
        <v>58091</v>
      </c>
      <c r="C14" s="59">
        <f>Input!C75</f>
        <v>57887</v>
      </c>
      <c r="D14" s="59">
        <f>Input!D75</f>
        <v>61344</v>
      </c>
      <c r="E14" s="59">
        <f>Input!E75</f>
        <v>65322</v>
      </c>
      <c r="F14" s="59">
        <f>Input!F75</f>
        <v>68187</v>
      </c>
      <c r="G14" s="59">
        <f>Input!G75</f>
        <v>69916</v>
      </c>
      <c r="H14" s="59"/>
      <c r="I14" s="59">
        <f>Input!I75</f>
        <v>73467.732799999998</v>
      </c>
      <c r="J14" s="59">
        <f>Input!J75</f>
        <v>77199.893626239995</v>
      </c>
      <c r="K14" s="59">
        <f>Input!K75</f>
        <v>81121.64822245299</v>
      </c>
      <c r="L14" s="59"/>
    </row>
    <row r="15" spans="1:14" ht="17" thickBot="1" x14ac:dyDescent="0.25">
      <c r="B15" s="206">
        <f t="shared" ref="B15:G15" si="2">B13/B14</f>
        <v>1.6715153810400923E-2</v>
      </c>
      <c r="C15" s="66">
        <f t="shared" si="2"/>
        <v>0.1028555634252941</v>
      </c>
      <c r="D15" s="66">
        <f t="shared" si="2"/>
        <v>2.4142540427751696E-2</v>
      </c>
      <c r="E15" s="66">
        <f t="shared" si="2"/>
        <v>1.1282569425308472E-2</v>
      </c>
      <c r="F15" s="66">
        <f t="shared" si="2"/>
        <v>1.7422675876633376E-2</v>
      </c>
      <c r="G15" s="66">
        <f t="shared" si="2"/>
        <v>2.3256479203615767E-2</v>
      </c>
      <c r="H15" s="66"/>
      <c r="I15" s="66">
        <f t="shared" ref="I15:K15" si="3">I13/I14</f>
        <v>2.2980826621615852E-2</v>
      </c>
      <c r="J15" s="66">
        <f t="shared" si="3"/>
        <v>2.2240798611418394E-2</v>
      </c>
      <c r="K15" s="67">
        <f t="shared" si="3"/>
        <v>2.1755194169992047E-2</v>
      </c>
      <c r="L15" s="64"/>
      <c r="N15" s="2" t="s">
        <v>695</v>
      </c>
    </row>
    <row r="16" spans="1:14" x14ac:dyDescent="0.2">
      <c r="A16" s="4" t="s">
        <v>688</v>
      </c>
    </row>
    <row r="17" spans="1:14" x14ac:dyDescent="0.2">
      <c r="A17" s="65" t="s">
        <v>92</v>
      </c>
      <c r="B17" s="59">
        <f>Input!B75</f>
        <v>58091</v>
      </c>
      <c r="C17" s="59">
        <f>Input!C75</f>
        <v>57887</v>
      </c>
      <c r="D17" s="59">
        <f>Input!D75</f>
        <v>61344</v>
      </c>
      <c r="E17" s="59">
        <f>Input!E75</f>
        <v>65322</v>
      </c>
      <c r="F17" s="59">
        <f>Input!F75</f>
        <v>68187</v>
      </c>
      <c r="G17" s="59">
        <f>Input!G75</f>
        <v>69916</v>
      </c>
      <c r="H17" s="59"/>
      <c r="I17" s="59">
        <f>Input!I75</f>
        <v>73467.732799999998</v>
      </c>
      <c r="J17" s="59">
        <f>Input!J75</f>
        <v>77199.893626239995</v>
      </c>
      <c r="K17" s="59">
        <f>Input!K75</f>
        <v>81121.64822245299</v>
      </c>
      <c r="L17" s="59"/>
    </row>
    <row r="18" spans="1:14" ht="17" thickBot="1" x14ac:dyDescent="0.25">
      <c r="A18" s="65" t="s">
        <v>217</v>
      </c>
      <c r="B18" s="59">
        <f>Input!B35</f>
        <v>53147</v>
      </c>
      <c r="C18" s="59">
        <f>Input!C35</f>
        <v>45512</v>
      </c>
      <c r="D18" s="59">
        <f>Input!D35</f>
        <v>49351</v>
      </c>
      <c r="E18" s="59">
        <f>Input!E35</f>
        <v>45868</v>
      </c>
      <c r="F18" s="59">
        <f>Input!F35</f>
        <v>47039</v>
      </c>
      <c r="G18" s="59">
        <f>Input!G35</f>
        <v>38890</v>
      </c>
      <c r="H18" s="59"/>
      <c r="I18" s="59">
        <f>Input!I35</f>
        <v>88254.538228774356</v>
      </c>
      <c r="J18" s="59">
        <f>Input!J35</f>
        <v>88896.744370796107</v>
      </c>
      <c r="K18" s="59">
        <f>Input!K35</f>
        <v>89588.70230483255</v>
      </c>
      <c r="L18" s="59"/>
    </row>
    <row r="19" spans="1:14" ht="17" thickBot="1" x14ac:dyDescent="0.25">
      <c r="B19" s="207">
        <f t="shared" ref="B19:G19" si="4">B17/B18</f>
        <v>1.0930250061151148</v>
      </c>
      <c r="C19" s="68">
        <f t="shared" si="4"/>
        <v>1.2719063104236246</v>
      </c>
      <c r="D19" s="68">
        <f t="shared" si="4"/>
        <v>1.2430143259508419</v>
      </c>
      <c r="E19" s="68">
        <f t="shared" si="4"/>
        <v>1.4241301124967298</v>
      </c>
      <c r="F19" s="68">
        <f t="shared" si="4"/>
        <v>1.4495843874232019</v>
      </c>
      <c r="G19" s="68">
        <f t="shared" si="4"/>
        <v>1.7977886346104397</v>
      </c>
      <c r="H19" s="68"/>
      <c r="I19" s="68">
        <f t="shared" ref="I19:K19" si="5">I17/I18</f>
        <v>0.8324527471840163</v>
      </c>
      <c r="J19" s="68">
        <f t="shared" si="5"/>
        <v>0.86842205721541921</v>
      </c>
      <c r="K19" s="69">
        <f t="shared" si="5"/>
        <v>0.90548971170974502</v>
      </c>
      <c r="L19" s="64"/>
      <c r="N19" s="2" t="s">
        <v>696</v>
      </c>
    </row>
    <row r="20" spans="1:14" x14ac:dyDescent="0.2">
      <c r="A20" s="4" t="s">
        <v>689</v>
      </c>
      <c r="N20" s="4" t="s">
        <v>697</v>
      </c>
    </row>
    <row r="21" spans="1:14" x14ac:dyDescent="0.2">
      <c r="A21" s="65" t="s">
        <v>217</v>
      </c>
      <c r="B21" s="59">
        <f>Input!B35</f>
        <v>53147</v>
      </c>
      <c r="C21" s="59">
        <f>Input!C35</f>
        <v>45512</v>
      </c>
      <c r="D21" s="59">
        <f>Input!D35</f>
        <v>49351</v>
      </c>
      <c r="E21" s="59">
        <f>Input!E35</f>
        <v>45868</v>
      </c>
      <c r="F21" s="59">
        <f>Input!F35</f>
        <v>47039</v>
      </c>
      <c r="G21" s="59">
        <f>Input!G35</f>
        <v>38890</v>
      </c>
      <c r="H21" s="59"/>
      <c r="I21" s="59">
        <f>Input!I35</f>
        <v>88254.538228774356</v>
      </c>
      <c r="J21" s="59">
        <f>Input!J35</f>
        <v>88896.744370796107</v>
      </c>
      <c r="K21" s="59">
        <f>Input!K35</f>
        <v>89588.70230483255</v>
      </c>
      <c r="L21" s="59"/>
    </row>
    <row r="22" spans="1:14" ht="17" thickBot="1" x14ac:dyDescent="0.25">
      <c r="A22" s="65" t="s">
        <v>246</v>
      </c>
      <c r="B22" s="59">
        <f>Input!B70</f>
        <v>13369</v>
      </c>
      <c r="C22" s="59">
        <f>Input!C70</f>
        <v>12059</v>
      </c>
      <c r="D22" s="59">
        <f>Input!D70</f>
        <v>15644</v>
      </c>
      <c r="E22" s="59">
        <f>Input!E70</f>
        <v>12225</v>
      </c>
      <c r="F22" s="59">
        <f>Input!F70</f>
        <v>11665</v>
      </c>
      <c r="G22" s="59">
        <f>Input!G70</f>
        <v>11662</v>
      </c>
      <c r="H22" s="59"/>
      <c r="I22" s="59">
        <f>Input!I70</f>
        <v>19680.349229759999</v>
      </c>
      <c r="J22" s="59">
        <f>Input!J70</f>
        <v>19708.987286964126</v>
      </c>
      <c r="K22" s="59">
        <f>Input!K70</f>
        <v>19756.817208469256</v>
      </c>
      <c r="L22" s="59"/>
    </row>
    <row r="23" spans="1:14" s="4" customFormat="1" ht="17" thickBot="1" x14ac:dyDescent="0.25">
      <c r="B23" s="207">
        <f t="shared" ref="B23:G23" si="6">B21/B22</f>
        <v>3.9753908295310048</v>
      </c>
      <c r="C23" s="68">
        <f t="shared" si="6"/>
        <v>3.7741106227713739</v>
      </c>
      <c r="D23" s="68">
        <f t="shared" si="6"/>
        <v>3.1546279723855792</v>
      </c>
      <c r="E23" s="68">
        <f t="shared" si="6"/>
        <v>3.7519836400817996</v>
      </c>
      <c r="F23" s="68">
        <f t="shared" si="6"/>
        <v>4.0324903557651091</v>
      </c>
      <c r="G23" s="68">
        <f t="shared" si="6"/>
        <v>3.3347624764191393</v>
      </c>
      <c r="H23" s="68"/>
      <c r="I23" s="68">
        <f t="shared" ref="I23:K23" si="7">I21/I22</f>
        <v>4.4843989910158024</v>
      </c>
      <c r="J23" s="68">
        <f t="shared" si="7"/>
        <v>4.5104673860941595</v>
      </c>
      <c r="K23" s="69">
        <f t="shared" si="7"/>
        <v>4.5345716042980904</v>
      </c>
      <c r="L23" s="64"/>
      <c r="N23" s="2" t="s">
        <v>698</v>
      </c>
    </row>
    <row r="24" spans="1:14" x14ac:dyDescent="0.2">
      <c r="N24" s="4" t="s">
        <v>699</v>
      </c>
    </row>
    <row r="25" spans="1:14" x14ac:dyDescent="0.2">
      <c r="A25" s="4" t="s">
        <v>690</v>
      </c>
    </row>
    <row r="26" spans="1:14" x14ac:dyDescent="0.2">
      <c r="A26" s="65" t="s">
        <v>238</v>
      </c>
      <c r="B26" s="59">
        <f t="shared" ref="B26:G26" si="8">B21-B22</f>
        <v>39778</v>
      </c>
      <c r="C26" s="59">
        <f t="shared" si="8"/>
        <v>33453</v>
      </c>
      <c r="D26" s="59">
        <f t="shared" si="8"/>
        <v>33707</v>
      </c>
      <c r="E26" s="59">
        <f t="shared" si="8"/>
        <v>33643</v>
      </c>
      <c r="F26" s="59">
        <f t="shared" si="8"/>
        <v>35374</v>
      </c>
      <c r="G26" s="59">
        <f t="shared" si="8"/>
        <v>27228</v>
      </c>
      <c r="H26" s="59"/>
      <c r="I26" s="59">
        <f t="shared" ref="I26:K26" si="9">I21-I22</f>
        <v>68574.188999014354</v>
      </c>
      <c r="J26" s="59">
        <f t="shared" si="9"/>
        <v>69187.757083831981</v>
      </c>
      <c r="K26" s="59">
        <f t="shared" si="9"/>
        <v>69831.885096363287</v>
      </c>
      <c r="L26" s="64"/>
    </row>
    <row r="27" spans="1:14" x14ac:dyDescent="0.2">
      <c r="A27" s="65" t="s">
        <v>691</v>
      </c>
      <c r="B27" s="59">
        <f>Input!B44</f>
        <v>2817</v>
      </c>
      <c r="C27" s="59">
        <f>Input!C44</f>
        <v>1655</v>
      </c>
      <c r="D27" s="59">
        <f>Input!D44</f>
        <v>1272</v>
      </c>
      <c r="E27" s="59">
        <f>Input!E44</f>
        <v>2365</v>
      </c>
      <c r="F27" s="59">
        <f>Input!F44</f>
        <v>2120</v>
      </c>
      <c r="G27" s="59">
        <f>Input!G44</f>
        <v>2479</v>
      </c>
      <c r="H27" s="59"/>
      <c r="I27" s="59">
        <f>Input!I44</f>
        <v>22480.6</v>
      </c>
      <c r="J27" s="59">
        <f>Input!J44</f>
        <v>22397.599999999999</v>
      </c>
      <c r="K27" s="59">
        <f>Input!K44</f>
        <v>22391.599999999999</v>
      </c>
      <c r="L27" s="64"/>
    </row>
    <row r="28" spans="1:14" x14ac:dyDescent="0.2">
      <c r="A28" s="65" t="s">
        <v>692</v>
      </c>
      <c r="B28" s="59">
        <f>Input!B61</f>
        <v>14973</v>
      </c>
      <c r="C28" s="59">
        <f>Input!C61</f>
        <v>14015</v>
      </c>
      <c r="D28" s="59">
        <f>Input!D61</f>
        <v>14085</v>
      </c>
      <c r="E28" s="59">
        <f>Input!E61</f>
        <v>12713</v>
      </c>
      <c r="F28" s="59">
        <f>Input!F61</f>
        <v>12721</v>
      </c>
      <c r="G28" s="59">
        <f>Input!G61</f>
        <v>12187</v>
      </c>
      <c r="H28" s="59"/>
      <c r="I28" s="59">
        <f>Input!I61</f>
        <v>31832.800000000003</v>
      </c>
      <c r="J28" s="59">
        <f>Input!J61</f>
        <v>31916.200000000004</v>
      </c>
      <c r="K28" s="59">
        <f>Input!K61</f>
        <v>31922.600000000006</v>
      </c>
      <c r="L28" s="64"/>
    </row>
    <row r="29" spans="1:14" x14ac:dyDescent="0.2">
      <c r="A29" s="65" t="s">
        <v>693</v>
      </c>
      <c r="B29" s="59">
        <f t="shared" ref="B29:G29" si="10">SUM(B27:B28)</f>
        <v>17790</v>
      </c>
      <c r="C29" s="59">
        <f t="shared" si="10"/>
        <v>15670</v>
      </c>
      <c r="D29" s="59">
        <f t="shared" si="10"/>
        <v>15357</v>
      </c>
      <c r="E29" s="59">
        <f t="shared" si="10"/>
        <v>15078</v>
      </c>
      <c r="F29" s="59">
        <f t="shared" si="10"/>
        <v>14841</v>
      </c>
      <c r="G29" s="59">
        <f t="shared" si="10"/>
        <v>14666</v>
      </c>
      <c r="H29" s="59"/>
      <c r="I29" s="59">
        <f t="shared" ref="I29:K29" si="11">SUM(I27:I28)</f>
        <v>54313.4</v>
      </c>
      <c r="J29" s="59">
        <f t="shared" si="11"/>
        <v>54313.8</v>
      </c>
      <c r="K29" s="59">
        <f t="shared" si="11"/>
        <v>54314.200000000004</v>
      </c>
      <c r="L29" s="64"/>
    </row>
    <row r="30" spans="1:14" x14ac:dyDescent="0.2">
      <c r="A30" s="65" t="s">
        <v>694</v>
      </c>
      <c r="B30" s="59">
        <f>B26-B29</f>
        <v>21988</v>
      </c>
      <c r="C30" s="59">
        <f t="shared" ref="C30:G30" si="12">C26-C29</f>
        <v>17783</v>
      </c>
      <c r="D30" s="59">
        <f t="shared" si="12"/>
        <v>18350</v>
      </c>
      <c r="E30" s="59">
        <f t="shared" si="12"/>
        <v>18565</v>
      </c>
      <c r="F30" s="59">
        <f t="shared" si="12"/>
        <v>20533</v>
      </c>
      <c r="G30" s="59">
        <f t="shared" si="12"/>
        <v>12562</v>
      </c>
      <c r="H30" s="59"/>
      <c r="I30" s="59">
        <f t="shared" ref="I30:K30" si="13">I26-I29</f>
        <v>14260.788999014352</v>
      </c>
      <c r="J30" s="59">
        <f t="shared" si="13"/>
        <v>14873.957083831978</v>
      </c>
      <c r="K30" s="59">
        <f t="shared" si="13"/>
        <v>15517.685096363282</v>
      </c>
      <c r="L30" s="64"/>
    </row>
  </sheetData>
  <mergeCells count="2">
    <mergeCell ref="B5:G5"/>
    <mergeCell ref="I5:K5"/>
  </mergeCells>
  <pageMargins left="0.7" right="0.7" top="0.75" bottom="0.75" header="0.3" footer="0.3"/>
  <extLst>
    <ext xmlns:x14="http://schemas.microsoft.com/office/spreadsheetml/2009/9/main" uri="{05C60535-1F16-4fd2-B633-F4F36F0B64E0}">
      <x14:sparklineGroups xmlns:xm="http://schemas.microsoft.com/office/excel/2006/main">
        <x14:sparklineGroup displayEmptyCellsAs="gap" xr2:uid="{1319CA56-EEAA-4842-8358-5F846AF6E269}">
          <x14:colorSeries rgb="FF376092"/>
          <x14:colorNegative rgb="FFD00000"/>
          <x14:colorAxis rgb="FF000000"/>
          <x14:colorMarkers rgb="FFD00000"/>
          <x14:colorFirst rgb="FFD00000"/>
          <x14:colorLast rgb="FFD00000"/>
          <x14:colorHigh rgb="FFD00000"/>
          <x14:colorLow rgb="FFD00000"/>
          <x14:sparklines>
            <x14:sparkline>
              <xm:f>'Dupont ROE'!B8:K8</xm:f>
              <xm:sqref>L8</xm:sqref>
            </x14:sparkline>
          </x14:sparklines>
        </x14:sparklineGroup>
        <x14:sparklineGroup displayEmptyCellsAs="gap" xr2:uid="{CC74FD9C-2338-6B43-B4D9-4B841FF313C7}">
          <x14:colorSeries rgb="FF376092"/>
          <x14:colorNegative rgb="FFD00000"/>
          <x14:colorAxis rgb="FF000000"/>
          <x14:colorMarkers rgb="FFD00000"/>
          <x14:colorFirst rgb="FFD00000"/>
          <x14:colorLast rgb="FFD00000"/>
          <x14:colorHigh rgb="FFD00000"/>
          <x14:colorLow rgb="FFD00000"/>
          <x14:sparklines>
            <x14:sparkline>
              <xm:f>'Dupont ROE'!B9:K9</xm:f>
              <xm:sqref>L9</xm:sqref>
            </x14:sparkline>
          </x14:sparklines>
        </x14:sparklineGroup>
        <x14:sparklineGroup displayEmptyCellsAs="gap" xr2:uid="{E8D3E843-F529-A246-AB3C-D66559EAE4A6}">
          <x14:colorSeries rgb="FF376092"/>
          <x14:colorNegative rgb="FFD00000"/>
          <x14:colorAxis rgb="FF000000"/>
          <x14:colorMarkers rgb="FFD00000"/>
          <x14:colorFirst rgb="FFD00000"/>
          <x14:colorLast rgb="FFD00000"/>
          <x14:colorHigh rgb="FFD00000"/>
          <x14:colorLow rgb="FFD00000"/>
          <x14:sparklines>
            <x14:sparkline>
              <xm:f>'Dupont ROE'!B15:K15</xm:f>
              <xm:sqref>L15</xm:sqref>
            </x14:sparkline>
          </x14:sparklines>
        </x14:sparklineGroup>
        <x14:sparklineGroup displayEmptyCellsAs="gap" xr2:uid="{C7AC9AD8-8087-7640-AE43-CC02D598B7B8}">
          <x14:colorSeries rgb="FF376092"/>
          <x14:colorNegative rgb="FFD00000"/>
          <x14:colorAxis rgb="FF000000"/>
          <x14:colorMarkers rgb="FFD00000"/>
          <x14:colorFirst rgb="FFD00000"/>
          <x14:colorLast rgb="FFD00000"/>
          <x14:colorHigh rgb="FFD00000"/>
          <x14:colorLow rgb="FFD00000"/>
          <x14:sparklines>
            <x14:sparkline>
              <xm:f>'Dupont ROE'!B19:K19</xm:f>
              <xm:sqref>L19</xm:sqref>
            </x14:sparkline>
          </x14:sparklines>
        </x14:sparklineGroup>
        <x14:sparklineGroup displayEmptyCellsAs="gap" xr2:uid="{D10910C8-B18D-7548-A268-CEC2E8B2322B}">
          <x14:colorSeries rgb="FF376092"/>
          <x14:colorNegative rgb="FFD00000"/>
          <x14:colorAxis rgb="FF000000"/>
          <x14:colorMarkers rgb="FFD00000"/>
          <x14:colorFirst rgb="FFD00000"/>
          <x14:colorLast rgb="FFD00000"/>
          <x14:colorHigh rgb="FFD00000"/>
          <x14:colorLow rgb="FFD00000"/>
          <x14:sparklines>
            <x14:sparkline>
              <xm:f>'Dupont ROE'!B23:K23</xm:f>
              <xm:sqref>L23</xm:sqref>
            </x14:sparkline>
          </x14:sparklines>
        </x14:sparklineGroup>
        <x14:sparklineGroup displayEmptyCellsAs="gap" xr2:uid="{C249C1F9-DD05-7444-AB10-C8963EC58031}">
          <x14:colorSeries rgb="FF376092"/>
          <x14:colorNegative rgb="FFD00000"/>
          <x14:colorAxis rgb="FF000000"/>
          <x14:colorMarkers rgb="FFD00000"/>
          <x14:colorFirst rgb="FFD00000"/>
          <x14:colorLast rgb="FFD00000"/>
          <x14:colorHigh rgb="FFD00000"/>
          <x14:colorLow rgb="FFD00000"/>
          <x14:sparklines>
            <x14:sparkline>
              <xm:f>'Dupont ROE'!B26:K26</xm:f>
              <xm:sqref>L26</xm:sqref>
            </x14:sparkline>
          </x14:sparklines>
        </x14:sparklineGroup>
        <x14:sparklineGroup displayEmptyCellsAs="gap" xr2:uid="{175E3A35-B809-884D-93D7-A1E2160DCB71}">
          <x14:colorSeries rgb="FF376092"/>
          <x14:colorNegative rgb="FFD00000"/>
          <x14:colorAxis rgb="FF000000"/>
          <x14:colorMarkers rgb="FFD00000"/>
          <x14:colorFirst rgb="FFD00000"/>
          <x14:colorLast rgb="FFD00000"/>
          <x14:colorHigh rgb="FFD00000"/>
          <x14:colorLow rgb="FFD00000"/>
          <x14:sparklines>
            <x14:sparkline>
              <xm:f>'Dupont ROE'!B27:K27</xm:f>
              <xm:sqref>L27</xm:sqref>
            </x14:sparkline>
          </x14:sparklines>
        </x14:sparklineGroup>
        <x14:sparklineGroup displayEmptyCellsAs="gap" xr2:uid="{A53476D0-9DCF-A24F-BF2C-ECE6E94CB6D5}">
          <x14:colorSeries rgb="FF376092"/>
          <x14:colorNegative rgb="FFD00000"/>
          <x14:colorAxis rgb="FF000000"/>
          <x14:colorMarkers rgb="FFD00000"/>
          <x14:colorFirst rgb="FFD00000"/>
          <x14:colorLast rgb="FFD00000"/>
          <x14:colorHigh rgb="FFD00000"/>
          <x14:colorLow rgb="FFD00000"/>
          <x14:sparklines>
            <x14:sparkline>
              <xm:f>'Dupont ROE'!B28:K28</xm:f>
              <xm:sqref>L28</xm:sqref>
            </x14:sparkline>
          </x14:sparklines>
        </x14:sparklineGroup>
        <x14:sparklineGroup displayEmptyCellsAs="gap" xr2:uid="{8F904DA3-483C-144E-B950-8A6B1DDE342F}">
          <x14:colorSeries rgb="FF376092"/>
          <x14:colorNegative rgb="FFD00000"/>
          <x14:colorAxis rgb="FF000000"/>
          <x14:colorMarkers rgb="FFD00000"/>
          <x14:colorFirst rgb="FFD00000"/>
          <x14:colorLast rgb="FFD00000"/>
          <x14:colorHigh rgb="FFD00000"/>
          <x14:colorLow rgb="FFD00000"/>
          <x14:sparklines>
            <x14:sparkline>
              <xm:f>'Dupont ROE'!B29:K29</xm:f>
              <xm:sqref>L29</xm:sqref>
            </x14:sparkline>
          </x14:sparklines>
        </x14:sparklineGroup>
        <x14:sparklineGroup displayEmptyCellsAs="gap" xr2:uid="{45C06A50-5AF9-8A4F-8E19-0D77BD63D50C}">
          <x14:colorSeries rgb="FF376092"/>
          <x14:colorNegative rgb="FFD00000"/>
          <x14:colorAxis rgb="FF000000"/>
          <x14:colorMarkers rgb="FFD00000"/>
          <x14:colorFirst rgb="FFD00000"/>
          <x14:colorLast rgb="FFD00000"/>
          <x14:colorHigh rgb="FFD00000"/>
          <x14:colorLow rgb="FFD00000"/>
          <x14:sparklines>
            <x14:sparkline>
              <xm:f>'Dupont ROE'!B30:K30</xm:f>
              <xm:sqref>L30</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50BE4-99BE-E040-A039-47BEFF4C7498}">
  <dimension ref="A1:O53"/>
  <sheetViews>
    <sheetView topLeftCell="A2" zoomScale="125" zoomScaleNormal="100" workbookViewId="0">
      <pane xSplit="1" topLeftCell="C1" activePane="topRight" state="frozen"/>
      <selection pane="topRight" activeCell="F4" sqref="F1:F1048576"/>
    </sheetView>
  </sheetViews>
  <sheetFormatPr baseColWidth="10" defaultRowHeight="16" x14ac:dyDescent="0.2"/>
  <cols>
    <col min="1" max="1" width="31.33203125" style="71" bestFit="1" customWidth="1"/>
    <col min="2" max="3" width="11" style="71" bestFit="1" customWidth="1"/>
    <col min="4" max="4" width="13" style="71" bestFit="1" customWidth="1"/>
    <col min="5" max="5" width="11" style="71" bestFit="1" customWidth="1"/>
    <col min="6" max="7" width="13" style="71" bestFit="1" customWidth="1"/>
    <col min="13" max="16384" width="10.83203125" style="71"/>
  </cols>
  <sheetData>
    <row r="1" spans="1:13" x14ac:dyDescent="0.2">
      <c r="A1" s="70" t="str">
        <f>'Dupont ROE'!A1</f>
        <v>Borrower</v>
      </c>
      <c r="B1" s="70" t="str">
        <f>'Dupont ROE'!B1</f>
        <v>Tesco PLC (LSE: TSCO)</v>
      </c>
    </row>
    <row r="2" spans="1:13" x14ac:dyDescent="0.2">
      <c r="A2" s="70" t="s">
        <v>700</v>
      </c>
      <c r="B2" s="70"/>
    </row>
    <row r="4" spans="1:13" ht="17" thickBot="1" x14ac:dyDescent="0.25"/>
    <row r="5" spans="1:13" ht="17" thickBot="1" x14ac:dyDescent="0.25">
      <c r="B5" s="257" t="s">
        <v>6</v>
      </c>
      <c r="C5" s="258"/>
      <c r="D5" s="258"/>
      <c r="E5" s="258"/>
      <c r="F5" s="258"/>
      <c r="G5" s="259"/>
      <c r="I5" s="260" t="s">
        <v>790</v>
      </c>
      <c r="J5" s="261"/>
      <c r="K5" s="262"/>
      <c r="L5" s="229"/>
    </row>
    <row r="6" spans="1:13" s="72" customFormat="1" ht="16" customHeight="1" x14ac:dyDescent="0.2">
      <c r="B6" s="198">
        <f>Input!B8</f>
        <v>2020</v>
      </c>
      <c r="C6" s="198">
        <f>Input!C8</f>
        <v>2021</v>
      </c>
      <c r="D6" s="198">
        <f>Input!D8</f>
        <v>2022</v>
      </c>
      <c r="E6" s="198">
        <f>Input!E8</f>
        <v>2023</v>
      </c>
      <c r="F6" s="198">
        <f>Input!F8</f>
        <v>2024</v>
      </c>
      <c r="G6" s="198">
        <f>Input!G8</f>
        <v>2025</v>
      </c>
      <c r="H6" s="198" t="str">
        <f>Input!H8</f>
        <v>Pro-Forma</v>
      </c>
      <c r="I6" s="198">
        <f>Input!I8</f>
        <v>2026</v>
      </c>
      <c r="J6" s="198">
        <f>Input!J8</f>
        <v>2027</v>
      </c>
      <c r="K6" s="198">
        <f>Input!K8</f>
        <v>2028</v>
      </c>
      <c r="L6" s="198"/>
    </row>
    <row r="7" spans="1:13" x14ac:dyDescent="0.2">
      <c r="A7" s="73" t="str">
        <f>Input!A9</f>
        <v>Periods</v>
      </c>
      <c r="B7" s="74">
        <f>Input!B9</f>
        <v>12</v>
      </c>
      <c r="C7" s="74">
        <f>Input!C9</f>
        <v>12</v>
      </c>
      <c r="D7" s="74">
        <f>Input!D9</f>
        <v>12</v>
      </c>
      <c r="E7" s="74">
        <f>Input!E9</f>
        <v>12</v>
      </c>
      <c r="F7" s="74">
        <f>Input!F9</f>
        <v>12</v>
      </c>
      <c r="G7" s="74">
        <f>Input!G9</f>
        <v>12</v>
      </c>
      <c r="H7" s="74"/>
      <c r="I7" s="74">
        <f>Input!I9</f>
        <v>12</v>
      </c>
      <c r="J7" s="74">
        <f>Input!J9</f>
        <v>12</v>
      </c>
      <c r="K7" s="74">
        <f>Input!K9</f>
        <v>12</v>
      </c>
      <c r="L7" s="74"/>
    </row>
    <row r="8" spans="1:13" x14ac:dyDescent="0.2">
      <c r="A8" s="71" t="s">
        <v>346</v>
      </c>
      <c r="B8" s="75">
        <f>Input!B84</f>
        <v>2627</v>
      </c>
      <c r="C8" s="75">
        <f>Input!C84</f>
        <v>1789</v>
      </c>
      <c r="D8" s="75">
        <f>Input!D84</f>
        <v>2870</v>
      </c>
      <c r="E8" s="75">
        <f>Input!E84</f>
        <v>2595</v>
      </c>
      <c r="F8" s="75">
        <f>Input!F84</f>
        <v>2819</v>
      </c>
      <c r="G8" s="75">
        <f>Input!G84</f>
        <v>2999</v>
      </c>
      <c r="H8" s="75"/>
      <c r="I8" s="75">
        <f>Input!I84</f>
        <v>3513.4613568</v>
      </c>
      <c r="J8" s="75">
        <f>Input!J84</f>
        <v>3730.45650872544</v>
      </c>
      <c r="K8" s="75">
        <f>Input!K84</f>
        <v>3959.8229103936928</v>
      </c>
      <c r="L8" s="75"/>
    </row>
    <row r="9" spans="1:13" x14ac:dyDescent="0.2">
      <c r="A9" s="71" t="s">
        <v>701</v>
      </c>
      <c r="B9" s="75"/>
      <c r="C9" s="75"/>
      <c r="D9" s="75"/>
      <c r="E9" s="75"/>
      <c r="F9" s="75"/>
      <c r="G9" s="75"/>
    </row>
    <row r="10" spans="1:13" x14ac:dyDescent="0.2">
      <c r="A10" s="76">
        <v>3</v>
      </c>
      <c r="B10" s="77">
        <f t="shared" ref="B10:K16" si="0">B$8*$A10</f>
        <v>7881</v>
      </c>
      <c r="C10" s="77">
        <f t="shared" si="0"/>
        <v>5367</v>
      </c>
      <c r="D10" s="77">
        <f t="shared" si="0"/>
        <v>8610</v>
      </c>
      <c r="E10" s="77">
        <f t="shared" si="0"/>
        <v>7785</v>
      </c>
      <c r="F10" s="77">
        <f t="shared" si="0"/>
        <v>8457</v>
      </c>
      <c r="G10" s="77">
        <f t="shared" si="0"/>
        <v>8997</v>
      </c>
      <c r="H10" s="77"/>
      <c r="I10" s="77">
        <f t="shared" si="0"/>
        <v>10540.384070399999</v>
      </c>
      <c r="J10" s="77">
        <f t="shared" si="0"/>
        <v>11191.369526176321</v>
      </c>
      <c r="K10" s="77">
        <f t="shared" si="0"/>
        <v>11879.468731181078</v>
      </c>
      <c r="L10" s="75"/>
      <c r="M10" s="71" t="s">
        <v>714</v>
      </c>
    </row>
    <row r="11" spans="1:13" x14ac:dyDescent="0.2">
      <c r="A11" s="78">
        <v>4</v>
      </c>
      <c r="B11" s="79">
        <f t="shared" si="0"/>
        <v>10508</v>
      </c>
      <c r="C11" s="79">
        <f t="shared" si="0"/>
        <v>7156</v>
      </c>
      <c r="D11" s="79">
        <f t="shared" si="0"/>
        <v>11480</v>
      </c>
      <c r="E11" s="79">
        <f t="shared" si="0"/>
        <v>10380</v>
      </c>
      <c r="F11" s="79">
        <f t="shared" si="0"/>
        <v>11276</v>
      </c>
      <c r="G11" s="79">
        <f t="shared" si="0"/>
        <v>11996</v>
      </c>
      <c r="H11" s="79"/>
      <c r="I11" s="79">
        <f t="shared" si="0"/>
        <v>14053.8454272</v>
      </c>
      <c r="J11" s="79">
        <f t="shared" si="0"/>
        <v>14921.82603490176</v>
      </c>
      <c r="K11" s="79">
        <f t="shared" si="0"/>
        <v>15839.291641574771</v>
      </c>
      <c r="L11" s="75"/>
      <c r="M11" s="71" t="s">
        <v>715</v>
      </c>
    </row>
    <row r="12" spans="1:13" x14ac:dyDescent="0.2">
      <c r="A12" s="78">
        <v>5</v>
      </c>
      <c r="B12" s="79">
        <f t="shared" si="0"/>
        <v>13135</v>
      </c>
      <c r="C12" s="79">
        <f t="shared" si="0"/>
        <v>8945</v>
      </c>
      <c r="D12" s="79">
        <f t="shared" si="0"/>
        <v>14350</v>
      </c>
      <c r="E12" s="79">
        <f t="shared" si="0"/>
        <v>12975</v>
      </c>
      <c r="F12" s="79">
        <f t="shared" si="0"/>
        <v>14095</v>
      </c>
      <c r="G12" s="79">
        <f t="shared" si="0"/>
        <v>14995</v>
      </c>
      <c r="H12" s="79"/>
      <c r="I12" s="79">
        <f t="shared" si="0"/>
        <v>17567.306784</v>
      </c>
      <c r="J12" s="79">
        <f t="shared" si="0"/>
        <v>18652.2825436272</v>
      </c>
      <c r="K12" s="79">
        <f t="shared" si="0"/>
        <v>19799.114551968465</v>
      </c>
      <c r="L12" s="75"/>
      <c r="M12" s="30" t="s">
        <v>716</v>
      </c>
    </row>
    <row r="13" spans="1:13" x14ac:dyDescent="0.2">
      <c r="A13" s="78">
        <v>6</v>
      </c>
      <c r="B13" s="79">
        <f t="shared" si="0"/>
        <v>15762</v>
      </c>
      <c r="C13" s="79">
        <f t="shared" si="0"/>
        <v>10734</v>
      </c>
      <c r="D13" s="79">
        <f t="shared" si="0"/>
        <v>17220</v>
      </c>
      <c r="E13" s="79">
        <f t="shared" si="0"/>
        <v>15570</v>
      </c>
      <c r="F13" s="79">
        <f t="shared" si="0"/>
        <v>16914</v>
      </c>
      <c r="G13" s="79">
        <f t="shared" si="0"/>
        <v>17994</v>
      </c>
      <c r="H13" s="79"/>
      <c r="I13" s="79">
        <f t="shared" si="0"/>
        <v>21080.768140799999</v>
      </c>
      <c r="J13" s="79">
        <f t="shared" si="0"/>
        <v>22382.739052352641</v>
      </c>
      <c r="K13" s="79">
        <f t="shared" si="0"/>
        <v>23758.937462362155</v>
      </c>
      <c r="L13" s="75"/>
    </row>
    <row r="14" spans="1:13" x14ac:dyDescent="0.2">
      <c r="A14" s="80">
        <v>7</v>
      </c>
      <c r="B14" s="75">
        <f t="shared" si="0"/>
        <v>18389</v>
      </c>
      <c r="C14" s="75">
        <f t="shared" si="0"/>
        <v>12523</v>
      </c>
      <c r="D14" s="75">
        <f t="shared" si="0"/>
        <v>20090</v>
      </c>
      <c r="E14" s="75">
        <f t="shared" si="0"/>
        <v>18165</v>
      </c>
      <c r="F14" s="75">
        <f t="shared" si="0"/>
        <v>19733</v>
      </c>
      <c r="G14" s="75">
        <f t="shared" si="0"/>
        <v>20993</v>
      </c>
      <c r="H14" s="75"/>
      <c r="I14" s="75">
        <f t="shared" si="0"/>
        <v>24594.229497600001</v>
      </c>
      <c r="J14" s="75">
        <f t="shared" si="0"/>
        <v>26113.195561078079</v>
      </c>
      <c r="K14" s="75">
        <f t="shared" si="0"/>
        <v>27718.760372755849</v>
      </c>
      <c r="L14" s="75"/>
    </row>
    <row r="15" spans="1:13" x14ac:dyDescent="0.2">
      <c r="A15" s="80">
        <v>8</v>
      </c>
      <c r="B15" s="75">
        <f t="shared" si="0"/>
        <v>21016</v>
      </c>
      <c r="C15" s="75">
        <f t="shared" si="0"/>
        <v>14312</v>
      </c>
      <c r="D15" s="75">
        <f t="shared" si="0"/>
        <v>22960</v>
      </c>
      <c r="E15" s="75">
        <f t="shared" si="0"/>
        <v>20760</v>
      </c>
      <c r="F15" s="75">
        <f t="shared" si="0"/>
        <v>22552</v>
      </c>
      <c r="G15" s="75">
        <f t="shared" si="0"/>
        <v>23992</v>
      </c>
      <c r="H15" s="75"/>
      <c r="I15" s="75">
        <f t="shared" si="0"/>
        <v>28107.6908544</v>
      </c>
      <c r="J15" s="75">
        <f t="shared" si="0"/>
        <v>29843.65206980352</v>
      </c>
      <c r="K15" s="75">
        <f t="shared" si="0"/>
        <v>31678.583283149543</v>
      </c>
      <c r="L15" s="75"/>
    </row>
    <row r="16" spans="1:13" x14ac:dyDescent="0.2">
      <c r="A16" s="80">
        <v>9</v>
      </c>
      <c r="B16" s="75">
        <f>B$8*$A16</f>
        <v>23643</v>
      </c>
      <c r="C16" s="75">
        <f t="shared" si="0"/>
        <v>16101</v>
      </c>
      <c r="D16" s="75">
        <f t="shared" si="0"/>
        <v>25830</v>
      </c>
      <c r="E16" s="75">
        <f t="shared" si="0"/>
        <v>23355</v>
      </c>
      <c r="F16" s="75">
        <f t="shared" si="0"/>
        <v>25371</v>
      </c>
      <c r="G16" s="75">
        <f t="shared" si="0"/>
        <v>26991</v>
      </c>
      <c r="H16" s="75"/>
      <c r="I16" s="75">
        <f t="shared" si="0"/>
        <v>31621.152211199998</v>
      </c>
      <c r="J16" s="75">
        <f t="shared" si="0"/>
        <v>33574.108578528962</v>
      </c>
      <c r="K16" s="75">
        <f t="shared" si="0"/>
        <v>35638.406193543233</v>
      </c>
      <c r="L16" s="75"/>
    </row>
    <row r="17" spans="1:15" x14ac:dyDescent="0.2">
      <c r="A17" s="82">
        <v>10</v>
      </c>
      <c r="B17" s="83">
        <f t="shared" ref="B17:K17" si="1">B$8*$A17</f>
        <v>26270</v>
      </c>
      <c r="C17" s="83">
        <f t="shared" si="1"/>
        <v>17890</v>
      </c>
      <c r="D17" s="83">
        <f t="shared" si="1"/>
        <v>28700</v>
      </c>
      <c r="E17" s="83">
        <f t="shared" si="1"/>
        <v>25950</v>
      </c>
      <c r="F17" s="83">
        <f t="shared" si="1"/>
        <v>28190</v>
      </c>
      <c r="G17" s="83">
        <f t="shared" si="1"/>
        <v>29990</v>
      </c>
      <c r="H17" s="83"/>
      <c r="I17" s="83">
        <f t="shared" si="1"/>
        <v>35134.613568000001</v>
      </c>
      <c r="J17" s="83">
        <f t="shared" si="1"/>
        <v>37304.565087254399</v>
      </c>
      <c r="K17" s="83">
        <f t="shared" si="1"/>
        <v>39598.22910393693</v>
      </c>
      <c r="L17" s="75"/>
    </row>
    <row r="19" spans="1:15" x14ac:dyDescent="0.2">
      <c r="A19" s="71" t="s">
        <v>693</v>
      </c>
      <c r="B19" s="75">
        <f>Input!B63</f>
        <v>17790</v>
      </c>
      <c r="C19" s="75">
        <f>Input!C63</f>
        <v>15670</v>
      </c>
      <c r="D19" s="75">
        <f>Input!D63</f>
        <v>15357</v>
      </c>
      <c r="E19" s="75">
        <f>Input!E63</f>
        <v>15078</v>
      </c>
      <c r="F19" s="75">
        <f>Input!F63</f>
        <v>14841</v>
      </c>
      <c r="G19" s="75">
        <f>Input!G63</f>
        <v>14666</v>
      </c>
      <c r="H19" s="75"/>
      <c r="I19" s="75">
        <f>Input!I63</f>
        <v>54313.4</v>
      </c>
      <c r="J19" s="75">
        <f>Input!J63</f>
        <v>54313.8</v>
      </c>
      <c r="K19" s="75">
        <f>Input!K63</f>
        <v>54314.200000000004</v>
      </c>
      <c r="L19" s="75"/>
    </row>
    <row r="20" spans="1:15" x14ac:dyDescent="0.2">
      <c r="A20" s="71" t="s">
        <v>702</v>
      </c>
      <c r="B20" s="75">
        <f>Input!B69</f>
        <v>-22</v>
      </c>
      <c r="C20" s="75">
        <f>Input!C69</f>
        <v>-18</v>
      </c>
      <c r="D20" s="75">
        <f>Input!D69</f>
        <v>-16</v>
      </c>
      <c r="E20" s="75">
        <f>Input!E69</f>
        <v>-11</v>
      </c>
      <c r="F20" s="75">
        <f>Input!F69</f>
        <v>-6</v>
      </c>
      <c r="G20" s="75">
        <f>Input!G69</f>
        <v>-4</v>
      </c>
      <c r="H20" s="75"/>
      <c r="I20" s="75">
        <f>Input!I69</f>
        <v>0</v>
      </c>
      <c r="J20" s="75">
        <f>Input!J69</f>
        <v>0</v>
      </c>
      <c r="K20" s="75">
        <f>Input!K69</f>
        <v>0</v>
      </c>
      <c r="L20" s="75"/>
    </row>
    <row r="21" spans="1:15" x14ac:dyDescent="0.2">
      <c r="A21" s="71" t="s">
        <v>703</v>
      </c>
      <c r="B21" s="75"/>
      <c r="C21" s="75"/>
      <c r="D21" s="75"/>
      <c r="E21" s="75"/>
      <c r="F21" s="75"/>
      <c r="G21" s="75"/>
      <c r="H21" s="75"/>
      <c r="I21" s="75"/>
      <c r="J21" s="75"/>
      <c r="K21" s="75"/>
      <c r="L21" s="75"/>
    </row>
    <row r="22" spans="1:15" x14ac:dyDescent="0.2">
      <c r="A22" s="71" t="s">
        <v>704</v>
      </c>
      <c r="B22" s="75"/>
      <c r="C22" s="75"/>
      <c r="D22" s="75"/>
      <c r="E22" s="75"/>
      <c r="F22" s="75"/>
      <c r="G22" s="75"/>
      <c r="H22" s="75"/>
      <c r="I22" s="75"/>
      <c r="J22" s="75"/>
      <c r="K22" s="75"/>
      <c r="L22" s="75"/>
    </row>
    <row r="23" spans="1:15" x14ac:dyDescent="0.2">
      <c r="A23" s="71" t="s">
        <v>705</v>
      </c>
      <c r="B23" s="75" t="s">
        <v>708</v>
      </c>
      <c r="C23" s="75"/>
      <c r="D23" s="75"/>
      <c r="E23" s="75"/>
      <c r="F23" s="75"/>
      <c r="G23" s="75"/>
      <c r="H23" s="75"/>
      <c r="I23" s="75"/>
      <c r="J23" s="75"/>
      <c r="K23" s="75"/>
      <c r="L23" s="75"/>
    </row>
    <row r="24" spans="1:15" x14ac:dyDescent="0.2">
      <c r="A24" s="71" t="s">
        <v>706</v>
      </c>
      <c r="B24" s="75">
        <f>IF($B$23="Yes",-Input!B12,0)</f>
        <v>-4137</v>
      </c>
      <c r="C24" s="75">
        <f>IF($B$23="Yes",-Input!C12,0)</f>
        <v>-2510</v>
      </c>
      <c r="D24" s="75">
        <f>IF($B$23="Yes",-Input!D12,0)</f>
        <v>-2345</v>
      </c>
      <c r="E24" s="75">
        <f>IF($B$23="Yes",-Input!E12,0)</f>
        <v>-2465</v>
      </c>
      <c r="F24" s="75">
        <f>IF($B$23="Yes",-Input!F12,0)</f>
        <v>-2340</v>
      </c>
      <c r="G24" s="75">
        <f>IF($B$23="Yes",-Input!G12,0)</f>
        <v>-2255</v>
      </c>
      <c r="H24" s="75"/>
      <c r="I24" s="75">
        <f>IF($B$23="Yes",-Input!I12,0)</f>
        <v>-2406</v>
      </c>
      <c r="J24" s="75">
        <f>IF($B$23="Yes",-Input!J12,0)</f>
        <v>-2679</v>
      </c>
      <c r="K24" s="75">
        <f>IF($B$23="Yes",-Input!K12,0)</f>
        <v>-2964</v>
      </c>
      <c r="L24" s="75"/>
    </row>
    <row r="25" spans="1:15" x14ac:dyDescent="0.2">
      <c r="A25" s="84" t="s">
        <v>707</v>
      </c>
      <c r="B25" s="85">
        <f>IF($B$23="Yes",SUM(B19:B22,B24),SUM(B19:B22))</f>
        <v>13631</v>
      </c>
      <c r="C25" s="85">
        <f t="shared" ref="C25:G25" si="2">IF($B$23="Yes",SUM(C19:C22,C24),SUM(C19:C22))</f>
        <v>13142</v>
      </c>
      <c r="D25" s="85">
        <f t="shared" si="2"/>
        <v>12996</v>
      </c>
      <c r="E25" s="85">
        <f t="shared" si="2"/>
        <v>12602</v>
      </c>
      <c r="F25" s="85">
        <f t="shared" si="2"/>
        <v>12495</v>
      </c>
      <c r="G25" s="85">
        <f t="shared" si="2"/>
        <v>12407</v>
      </c>
      <c r="H25" s="85"/>
      <c r="I25" s="85">
        <f t="shared" ref="I25:K25" si="3">IF($B$23="Yes",SUM(I19:I22,I24),SUM(I19:I22))</f>
        <v>51907.4</v>
      </c>
      <c r="J25" s="85">
        <f t="shared" si="3"/>
        <v>51634.8</v>
      </c>
      <c r="K25" s="85">
        <f t="shared" si="3"/>
        <v>51350.200000000004</v>
      </c>
      <c r="L25" s="75"/>
    </row>
    <row r="27" spans="1:15" x14ac:dyDescent="0.2">
      <c r="A27" s="70" t="s">
        <v>709</v>
      </c>
    </row>
    <row r="28" spans="1:15" x14ac:dyDescent="0.2">
      <c r="A28" s="76">
        <v>3</v>
      </c>
      <c r="B28" s="77">
        <f t="shared" ref="B28:G30" si="4">B10-B$25</f>
        <v>-5750</v>
      </c>
      <c r="C28" s="77">
        <f t="shared" si="4"/>
        <v>-7775</v>
      </c>
      <c r="D28" s="77">
        <f t="shared" si="4"/>
        <v>-4386</v>
      </c>
      <c r="E28" s="77">
        <f t="shared" si="4"/>
        <v>-4817</v>
      </c>
      <c r="F28" s="77">
        <f>F10-F$25</f>
        <v>-4038</v>
      </c>
      <c r="G28" s="77">
        <f t="shared" si="4"/>
        <v>-3410</v>
      </c>
      <c r="H28" s="77"/>
      <c r="I28" s="77">
        <f t="shared" ref="I28:K28" si="5">I10-I$25</f>
        <v>-41367.015929600006</v>
      </c>
      <c r="J28" s="77">
        <f t="shared" si="5"/>
        <v>-40443.430473823682</v>
      </c>
      <c r="K28" s="77">
        <f t="shared" si="5"/>
        <v>-39470.731268818927</v>
      </c>
      <c r="L28" s="75"/>
      <c r="M28" s="75"/>
      <c r="N28" s="75"/>
      <c r="O28" s="75"/>
    </row>
    <row r="29" spans="1:15" x14ac:dyDescent="0.2">
      <c r="A29" s="78">
        <v>4</v>
      </c>
      <c r="B29" s="79">
        <f t="shared" si="4"/>
        <v>-3123</v>
      </c>
      <c r="C29" s="79">
        <f t="shared" si="4"/>
        <v>-5986</v>
      </c>
      <c r="D29" s="79">
        <f t="shared" si="4"/>
        <v>-1516</v>
      </c>
      <c r="E29" s="79">
        <f t="shared" si="4"/>
        <v>-2222</v>
      </c>
      <c r="F29" s="79">
        <f t="shared" si="4"/>
        <v>-1219</v>
      </c>
      <c r="G29" s="79">
        <f t="shared" si="4"/>
        <v>-411</v>
      </c>
      <c r="H29" s="79"/>
      <c r="I29" s="79">
        <f t="shared" ref="I29:K29" si="6">I11-I$25</f>
        <v>-37853.5545728</v>
      </c>
      <c r="J29" s="79">
        <f t="shared" si="6"/>
        <v>-36712.973965098245</v>
      </c>
      <c r="K29" s="79">
        <f t="shared" si="6"/>
        <v>-35510.908358425237</v>
      </c>
      <c r="L29" s="75"/>
      <c r="M29" s="75"/>
      <c r="N29" s="75"/>
      <c r="O29" s="75"/>
    </row>
    <row r="30" spans="1:15" x14ac:dyDescent="0.2">
      <c r="A30" s="78">
        <v>5</v>
      </c>
      <c r="B30" s="79">
        <f t="shared" si="4"/>
        <v>-496</v>
      </c>
      <c r="C30" s="79">
        <f t="shared" si="4"/>
        <v>-4197</v>
      </c>
      <c r="D30" s="79">
        <f t="shared" si="4"/>
        <v>1354</v>
      </c>
      <c r="E30" s="79">
        <f t="shared" si="4"/>
        <v>373</v>
      </c>
      <c r="F30" s="79">
        <f t="shared" si="4"/>
        <v>1600</v>
      </c>
      <c r="G30" s="79">
        <f t="shared" si="4"/>
        <v>2588</v>
      </c>
      <c r="H30" s="79"/>
      <c r="I30" s="79">
        <f t="shared" ref="I30:K30" si="7">I12-I$25</f>
        <v>-34340.093216000001</v>
      </c>
      <c r="J30" s="79">
        <f t="shared" si="7"/>
        <v>-32982.517456372807</v>
      </c>
      <c r="K30" s="79">
        <f t="shared" si="7"/>
        <v>-31551.085448031539</v>
      </c>
      <c r="L30" s="75"/>
      <c r="M30" s="75"/>
      <c r="N30" s="75"/>
      <c r="O30" s="75"/>
    </row>
    <row r="31" spans="1:15" x14ac:dyDescent="0.2">
      <c r="A31" s="78">
        <v>6</v>
      </c>
      <c r="B31" s="79">
        <f t="shared" ref="B31:G31" si="8">B13-B$25</f>
        <v>2131</v>
      </c>
      <c r="C31" s="79">
        <f t="shared" si="8"/>
        <v>-2408</v>
      </c>
      <c r="D31" s="79">
        <f t="shared" si="8"/>
        <v>4224</v>
      </c>
      <c r="E31" s="79">
        <f t="shared" si="8"/>
        <v>2968</v>
      </c>
      <c r="F31" s="79">
        <f t="shared" si="8"/>
        <v>4419</v>
      </c>
      <c r="G31" s="79">
        <f t="shared" si="8"/>
        <v>5587</v>
      </c>
      <c r="H31" s="79"/>
      <c r="I31" s="79">
        <f t="shared" ref="I31:K31" si="9">I13-I$25</f>
        <v>-30826.631859200003</v>
      </c>
      <c r="J31" s="79">
        <f t="shared" si="9"/>
        <v>-29252.060947647362</v>
      </c>
      <c r="K31" s="79">
        <f t="shared" si="9"/>
        <v>-27591.262537637849</v>
      </c>
      <c r="L31" s="75"/>
      <c r="M31" s="75"/>
      <c r="N31" s="75"/>
      <c r="O31" s="75"/>
    </row>
    <row r="32" spans="1:15" x14ac:dyDescent="0.2">
      <c r="A32" s="80">
        <v>7</v>
      </c>
      <c r="B32" s="75">
        <f t="shared" ref="B32:G35" si="10">B14-B$25</f>
        <v>4758</v>
      </c>
      <c r="C32" s="75">
        <f t="shared" si="10"/>
        <v>-619</v>
      </c>
      <c r="D32" s="75">
        <f t="shared" si="10"/>
        <v>7094</v>
      </c>
      <c r="E32" s="75">
        <f t="shared" si="10"/>
        <v>5563</v>
      </c>
      <c r="F32" s="75">
        <f t="shared" si="10"/>
        <v>7238</v>
      </c>
      <c r="G32" s="75">
        <f t="shared" si="10"/>
        <v>8586</v>
      </c>
      <c r="H32" s="75"/>
      <c r="I32" s="75">
        <f t="shared" ref="I32:K32" si="11">I14-I$25</f>
        <v>-27313.1705024</v>
      </c>
      <c r="J32" s="75">
        <f t="shared" si="11"/>
        <v>-25521.604438921924</v>
      </c>
      <c r="K32" s="75">
        <f t="shared" si="11"/>
        <v>-23631.439627244155</v>
      </c>
      <c r="L32" s="75"/>
    </row>
    <row r="33" spans="1:12" x14ac:dyDescent="0.2">
      <c r="A33" s="80">
        <v>8</v>
      </c>
      <c r="B33" s="75">
        <f t="shared" si="10"/>
        <v>7385</v>
      </c>
      <c r="C33" s="75">
        <f t="shared" si="10"/>
        <v>1170</v>
      </c>
      <c r="D33" s="75">
        <f t="shared" si="10"/>
        <v>9964</v>
      </c>
      <c r="E33" s="75">
        <f t="shared" si="10"/>
        <v>8158</v>
      </c>
      <c r="F33" s="75">
        <f t="shared" si="10"/>
        <v>10057</v>
      </c>
      <c r="G33" s="75">
        <f t="shared" si="10"/>
        <v>11585</v>
      </c>
      <c r="H33" s="75"/>
      <c r="I33" s="75">
        <f t="shared" ref="I33:K33" si="12">I15-I$25</f>
        <v>-23799.709145600002</v>
      </c>
      <c r="J33" s="75">
        <f t="shared" si="12"/>
        <v>-21791.147930196483</v>
      </c>
      <c r="K33" s="75">
        <f t="shared" si="12"/>
        <v>-19671.616716850462</v>
      </c>
      <c r="L33" s="75"/>
    </row>
    <row r="34" spans="1:12" x14ac:dyDescent="0.2">
      <c r="A34" s="80">
        <v>9</v>
      </c>
      <c r="B34" s="75">
        <f t="shared" si="10"/>
        <v>10012</v>
      </c>
      <c r="C34" s="75">
        <f t="shared" si="10"/>
        <v>2959</v>
      </c>
      <c r="D34" s="75">
        <f t="shared" si="10"/>
        <v>12834</v>
      </c>
      <c r="E34" s="75">
        <f t="shared" si="10"/>
        <v>10753</v>
      </c>
      <c r="F34" s="75">
        <f t="shared" si="10"/>
        <v>12876</v>
      </c>
      <c r="G34" s="75">
        <f t="shared" si="10"/>
        <v>14584</v>
      </c>
      <c r="H34" s="75"/>
      <c r="I34" s="75">
        <f t="shared" ref="I34:K34" si="13">I16-I$25</f>
        <v>-20286.247788800003</v>
      </c>
      <c r="J34" s="75">
        <f t="shared" si="13"/>
        <v>-18060.691421471041</v>
      </c>
      <c r="K34" s="75">
        <f t="shared" si="13"/>
        <v>-15711.793806456772</v>
      </c>
      <c r="L34" s="75"/>
    </row>
    <row r="35" spans="1:12" x14ac:dyDescent="0.2">
      <c r="A35" s="82">
        <v>10</v>
      </c>
      <c r="B35" s="83">
        <f t="shared" si="10"/>
        <v>12639</v>
      </c>
      <c r="C35" s="83">
        <f t="shared" si="10"/>
        <v>4748</v>
      </c>
      <c r="D35" s="83">
        <f t="shared" si="10"/>
        <v>15704</v>
      </c>
      <c r="E35" s="83">
        <f t="shared" si="10"/>
        <v>13348</v>
      </c>
      <c r="F35" s="83">
        <f t="shared" si="10"/>
        <v>15695</v>
      </c>
      <c r="G35" s="83">
        <f t="shared" si="10"/>
        <v>17583</v>
      </c>
      <c r="H35" s="83"/>
      <c r="I35" s="83">
        <f t="shared" ref="I35:K35" si="14">I17-I$25</f>
        <v>-16772.786432000001</v>
      </c>
      <c r="J35" s="83">
        <f t="shared" si="14"/>
        <v>-14330.234912745604</v>
      </c>
      <c r="K35" s="83">
        <f t="shared" si="14"/>
        <v>-11751.970896063074</v>
      </c>
      <c r="L35" s="75"/>
    </row>
    <row r="37" spans="1:12" x14ac:dyDescent="0.2">
      <c r="A37" s="70" t="s">
        <v>710</v>
      </c>
      <c r="B37" s="86">
        <f t="shared" ref="B37:K37" si="15">B25/B8</f>
        <v>5.1888085268366959</v>
      </c>
      <c r="C37" s="86">
        <f t="shared" si="15"/>
        <v>7.3460033538289551</v>
      </c>
      <c r="D37" s="86">
        <f t="shared" si="15"/>
        <v>4.5282229965156793</v>
      </c>
      <c r="E37" s="86">
        <f t="shared" si="15"/>
        <v>4.8562620423892104</v>
      </c>
      <c r="F37" s="86">
        <f t="shared" si="15"/>
        <v>4.4324228449804899</v>
      </c>
      <c r="G37" s="86">
        <f t="shared" si="15"/>
        <v>4.1370456818939649</v>
      </c>
      <c r="H37" s="86"/>
      <c r="I37" s="86">
        <f t="shared" si="15"/>
        <v>14.773863927530533</v>
      </c>
      <c r="J37" s="86">
        <f t="shared" si="15"/>
        <v>13.841415890850774</v>
      </c>
      <c r="K37" s="86">
        <f t="shared" si="15"/>
        <v>12.967802137114933</v>
      </c>
      <c r="L37" s="86"/>
    </row>
    <row r="39" spans="1:12" x14ac:dyDescent="0.2">
      <c r="A39" s="87" t="s">
        <v>711</v>
      </c>
      <c r="B39" s="88"/>
      <c r="C39" s="88"/>
      <c r="D39" s="88"/>
      <c r="E39" s="88"/>
      <c r="F39" s="88"/>
      <c r="G39" s="88"/>
      <c r="H39" s="88"/>
      <c r="I39" s="88"/>
      <c r="J39" s="88"/>
      <c r="K39" s="88"/>
      <c r="L39" s="71"/>
    </row>
    <row r="40" spans="1:12" x14ac:dyDescent="0.2">
      <c r="A40" s="87" t="s">
        <v>712</v>
      </c>
      <c r="B40" s="88"/>
      <c r="C40" s="88"/>
      <c r="D40" s="88"/>
      <c r="E40" s="88"/>
      <c r="F40" s="88"/>
      <c r="G40" s="88"/>
      <c r="H40" s="88"/>
      <c r="I40" s="88"/>
      <c r="J40" s="88"/>
      <c r="K40" s="88"/>
      <c r="L40" s="71"/>
    </row>
    <row r="41" spans="1:12" x14ac:dyDescent="0.2">
      <c r="A41" s="88" t="s">
        <v>713</v>
      </c>
      <c r="B41" s="89">
        <f>Input!B70</f>
        <v>13369</v>
      </c>
      <c r="C41" s="89">
        <f>Input!C70</f>
        <v>12059</v>
      </c>
      <c r="D41" s="89">
        <f>Input!D70</f>
        <v>15644</v>
      </c>
      <c r="E41" s="89">
        <f>Input!E70</f>
        <v>12225</v>
      </c>
      <c r="F41" s="89">
        <f>Input!F70</f>
        <v>11665</v>
      </c>
      <c r="G41" s="89">
        <f>Input!G70</f>
        <v>11662</v>
      </c>
      <c r="H41" s="89"/>
      <c r="I41" s="89">
        <f>Input!I70</f>
        <v>19680.349229759999</v>
      </c>
      <c r="J41" s="89">
        <f>Input!J70</f>
        <v>19708.987286964126</v>
      </c>
      <c r="K41" s="89">
        <f>Input!K70</f>
        <v>19756.817208469256</v>
      </c>
      <c r="L41" s="75"/>
    </row>
    <row r="42" spans="1:12" x14ac:dyDescent="0.2">
      <c r="A42" s="90">
        <v>3</v>
      </c>
      <c r="B42" s="89">
        <f>B28-B$41</f>
        <v>-19119</v>
      </c>
      <c r="C42" s="89">
        <f t="shared" ref="C42:G42" si="16">C28-C$41</f>
        <v>-19834</v>
      </c>
      <c r="D42" s="89">
        <f t="shared" si="16"/>
        <v>-20030</v>
      </c>
      <c r="E42" s="89">
        <f t="shared" si="16"/>
        <v>-17042</v>
      </c>
      <c r="F42" s="89">
        <f t="shared" si="16"/>
        <v>-15703</v>
      </c>
      <c r="G42" s="89">
        <f t="shared" si="16"/>
        <v>-15072</v>
      </c>
      <c r="H42" s="89"/>
      <c r="I42" s="89">
        <f t="shared" ref="I42:K42" si="17">I28-I$41</f>
        <v>-61047.365159360008</v>
      </c>
      <c r="J42" s="89">
        <f t="shared" si="17"/>
        <v>-60152.417760787808</v>
      </c>
      <c r="K42" s="89">
        <f t="shared" si="17"/>
        <v>-59227.548477288183</v>
      </c>
      <c r="L42" s="75"/>
    </row>
    <row r="43" spans="1:12" x14ac:dyDescent="0.2">
      <c r="A43" s="90">
        <v>4</v>
      </c>
      <c r="B43" s="89">
        <f t="shared" ref="B43:G43" si="18">B29-B$41</f>
        <v>-16492</v>
      </c>
      <c r="C43" s="89">
        <f t="shared" si="18"/>
        <v>-18045</v>
      </c>
      <c r="D43" s="89">
        <f t="shared" si="18"/>
        <v>-17160</v>
      </c>
      <c r="E43" s="89">
        <f t="shared" si="18"/>
        <v>-14447</v>
      </c>
      <c r="F43" s="89">
        <f t="shared" si="18"/>
        <v>-12884</v>
      </c>
      <c r="G43" s="89">
        <f t="shared" si="18"/>
        <v>-12073</v>
      </c>
      <c r="H43" s="89"/>
      <c r="I43" s="89">
        <f t="shared" ref="I43:K43" si="19">I29-I$41</f>
        <v>-57533.903802560002</v>
      </c>
      <c r="J43" s="89">
        <f t="shared" si="19"/>
        <v>-56421.96125206237</v>
      </c>
      <c r="K43" s="89">
        <f t="shared" si="19"/>
        <v>-55267.725566894493</v>
      </c>
      <c r="L43" s="75"/>
    </row>
    <row r="44" spans="1:12" x14ac:dyDescent="0.2">
      <c r="A44" s="90">
        <v>5</v>
      </c>
      <c r="B44" s="89">
        <f t="shared" ref="B44:G44" si="20">B30-B$41</f>
        <v>-13865</v>
      </c>
      <c r="C44" s="89">
        <f t="shared" si="20"/>
        <v>-16256</v>
      </c>
      <c r="D44" s="89">
        <f t="shared" si="20"/>
        <v>-14290</v>
      </c>
      <c r="E44" s="89">
        <f t="shared" si="20"/>
        <v>-11852</v>
      </c>
      <c r="F44" s="89">
        <f t="shared" si="20"/>
        <v>-10065</v>
      </c>
      <c r="G44" s="89">
        <f t="shared" si="20"/>
        <v>-9074</v>
      </c>
      <c r="H44" s="89"/>
      <c r="I44" s="89">
        <f t="shared" ref="I44:K44" si="21">I30-I$41</f>
        <v>-54020.442445759996</v>
      </c>
      <c r="J44" s="89">
        <f t="shared" si="21"/>
        <v>-52691.504743336933</v>
      </c>
      <c r="K44" s="89">
        <f t="shared" si="21"/>
        <v>-51307.902656500795</v>
      </c>
      <c r="L44" s="75"/>
    </row>
    <row r="45" spans="1:12" x14ac:dyDescent="0.2">
      <c r="A45" s="90">
        <v>6</v>
      </c>
      <c r="B45" s="89">
        <f t="shared" ref="B45:G45" si="22">B31-B$41</f>
        <v>-11238</v>
      </c>
      <c r="C45" s="89">
        <f t="shared" si="22"/>
        <v>-14467</v>
      </c>
      <c r="D45" s="89">
        <f t="shared" si="22"/>
        <v>-11420</v>
      </c>
      <c r="E45" s="89">
        <f t="shared" si="22"/>
        <v>-9257</v>
      </c>
      <c r="F45" s="89">
        <f t="shared" si="22"/>
        <v>-7246</v>
      </c>
      <c r="G45" s="89">
        <f t="shared" si="22"/>
        <v>-6075</v>
      </c>
      <c r="H45" s="89"/>
      <c r="I45" s="89">
        <f t="shared" ref="I45:K45" si="23">I31-I$41</f>
        <v>-50506.981088960005</v>
      </c>
      <c r="J45" s="89">
        <f t="shared" si="23"/>
        <v>-48961.048234611488</v>
      </c>
      <c r="K45" s="89">
        <f t="shared" si="23"/>
        <v>-47348.079746107105</v>
      </c>
      <c r="L45" s="75"/>
    </row>
    <row r="46" spans="1:12" x14ac:dyDescent="0.2">
      <c r="A46" s="90">
        <v>7</v>
      </c>
      <c r="B46" s="89">
        <f t="shared" ref="B46:G46" si="24">B32-B$41</f>
        <v>-8611</v>
      </c>
      <c r="C46" s="89">
        <f t="shared" si="24"/>
        <v>-12678</v>
      </c>
      <c r="D46" s="89">
        <f t="shared" si="24"/>
        <v>-8550</v>
      </c>
      <c r="E46" s="89">
        <f t="shared" si="24"/>
        <v>-6662</v>
      </c>
      <c r="F46" s="89">
        <f t="shared" si="24"/>
        <v>-4427</v>
      </c>
      <c r="G46" s="89">
        <f t="shared" si="24"/>
        <v>-3076</v>
      </c>
      <c r="H46" s="89"/>
      <c r="I46" s="89">
        <f t="shared" ref="I46:K46" si="25">I32-I$41</f>
        <v>-46993.519732159999</v>
      </c>
      <c r="J46" s="89">
        <f t="shared" si="25"/>
        <v>-45230.59172588605</v>
      </c>
      <c r="K46" s="89">
        <f t="shared" si="25"/>
        <v>-43388.256835713415</v>
      </c>
      <c r="L46" s="75"/>
    </row>
    <row r="47" spans="1:12" x14ac:dyDescent="0.2">
      <c r="A47" s="90">
        <v>8</v>
      </c>
      <c r="B47" s="89">
        <f t="shared" ref="B47:G47" si="26">B33-B$41</f>
        <v>-5984</v>
      </c>
      <c r="C47" s="89">
        <f t="shared" si="26"/>
        <v>-10889</v>
      </c>
      <c r="D47" s="89">
        <f t="shared" si="26"/>
        <v>-5680</v>
      </c>
      <c r="E47" s="89">
        <f t="shared" si="26"/>
        <v>-4067</v>
      </c>
      <c r="F47" s="89">
        <f t="shared" si="26"/>
        <v>-1608</v>
      </c>
      <c r="G47" s="89">
        <f t="shared" si="26"/>
        <v>-77</v>
      </c>
      <c r="H47" s="89"/>
      <c r="I47" s="89">
        <f t="shared" ref="I47:K47" si="27">I33-I$41</f>
        <v>-43480.05837536</v>
      </c>
      <c r="J47" s="89">
        <f t="shared" si="27"/>
        <v>-41500.135217160612</v>
      </c>
      <c r="K47" s="89">
        <f t="shared" si="27"/>
        <v>-39428.433925319718</v>
      </c>
      <c r="L47" s="75"/>
    </row>
    <row r="48" spans="1:12" x14ac:dyDescent="0.2">
      <c r="A48" s="90">
        <v>9</v>
      </c>
      <c r="B48" s="89">
        <f t="shared" ref="B48:G48" si="28">B34-B$41</f>
        <v>-3357</v>
      </c>
      <c r="C48" s="89">
        <f t="shared" si="28"/>
        <v>-9100</v>
      </c>
      <c r="D48" s="89">
        <f t="shared" si="28"/>
        <v>-2810</v>
      </c>
      <c r="E48" s="89">
        <f t="shared" si="28"/>
        <v>-1472</v>
      </c>
      <c r="F48" s="89">
        <f t="shared" si="28"/>
        <v>1211</v>
      </c>
      <c r="G48" s="89">
        <f t="shared" si="28"/>
        <v>2922</v>
      </c>
      <c r="H48" s="89"/>
      <c r="I48" s="89">
        <f t="shared" ref="I48:K48" si="29">I34-I$41</f>
        <v>-39966.597018560002</v>
      </c>
      <c r="J48" s="89">
        <f t="shared" si="29"/>
        <v>-37769.678708435167</v>
      </c>
      <c r="K48" s="89">
        <f t="shared" si="29"/>
        <v>-35468.611014926028</v>
      </c>
      <c r="L48" s="75"/>
    </row>
    <row r="49" spans="1:12" x14ac:dyDescent="0.2">
      <c r="A49" s="90">
        <v>10</v>
      </c>
      <c r="B49" s="89">
        <f t="shared" ref="B49:G49" si="30">B35-B$41</f>
        <v>-730</v>
      </c>
      <c r="C49" s="89">
        <f t="shared" si="30"/>
        <v>-7311</v>
      </c>
      <c r="D49" s="89">
        <f t="shared" si="30"/>
        <v>60</v>
      </c>
      <c r="E49" s="89">
        <f t="shared" si="30"/>
        <v>1123</v>
      </c>
      <c r="F49" s="89">
        <f t="shared" si="30"/>
        <v>4030</v>
      </c>
      <c r="G49" s="89">
        <f t="shared" si="30"/>
        <v>5921</v>
      </c>
      <c r="H49" s="89"/>
      <c r="I49" s="89">
        <f t="shared" ref="I49:K49" si="31">I35-I$41</f>
        <v>-36453.135661759996</v>
      </c>
      <c r="J49" s="89">
        <f t="shared" si="31"/>
        <v>-34039.222199709729</v>
      </c>
      <c r="K49" s="89">
        <f t="shared" si="31"/>
        <v>-31508.78810453233</v>
      </c>
      <c r="L49" s="75"/>
    </row>
    <row r="53" spans="1:12" s="2" customFormat="1" x14ac:dyDescent="0.2">
      <c r="A53" s="5"/>
      <c r="B53" s="15"/>
      <c r="C53" s="15"/>
      <c r="D53" s="15"/>
      <c r="E53" s="15"/>
      <c r="F53" s="15"/>
      <c r="G53" s="15"/>
    </row>
  </sheetData>
  <mergeCells count="2">
    <mergeCell ref="B5:G5"/>
    <mergeCell ref="I5:K5"/>
  </mergeCells>
  <dataValidations count="1">
    <dataValidation type="list" allowBlank="1" showInputMessage="1" showErrorMessage="1" sqref="B23" xr:uid="{8D3837F3-3D9D-CC4A-8C05-08E4492AE7CD}">
      <formula1>"Yes,No"</formula1>
    </dataValidation>
  </dataValidations>
  <pageMargins left="0.7" right="0.7" top="0.75" bottom="0.75" header="0.3" footer="0.3"/>
  <drawing r:id="rId1"/>
  <extLst>
    <ext xmlns:x14="http://schemas.microsoft.com/office/spreadsheetml/2009/9/main" uri="{05C60535-1F16-4fd2-B633-F4F36F0B64E0}">
      <x14:sparklineGroups xmlns:xm="http://schemas.microsoft.com/office/excel/2006/main">
        <x14:sparklineGroup displayEmptyCellsAs="gap" xr2:uid="{23F90B6E-A295-E84C-A817-F36EFDA5ACA8}">
          <x14:colorSeries rgb="FF376092"/>
          <x14:colorNegative rgb="FFD00000"/>
          <x14:colorAxis rgb="FF000000"/>
          <x14:colorMarkers rgb="FFD00000"/>
          <x14:colorFirst rgb="FFD00000"/>
          <x14:colorLast rgb="FFD00000"/>
          <x14:colorHigh rgb="FFD00000"/>
          <x14:colorLow rgb="FFD00000"/>
          <x14:sparklines>
            <x14:sparkline>
              <xm:f>EV!B8:K8</xm:f>
              <xm:sqref>L8</xm:sqref>
            </x14:sparkline>
          </x14:sparklines>
        </x14:sparklineGroup>
        <x14:sparklineGroup displayEmptyCellsAs="gap" xr2:uid="{D15F29E9-05DC-9B4F-BC6B-F60D108D820B}">
          <x14:colorSeries rgb="FF376092"/>
          <x14:colorNegative rgb="FFD00000"/>
          <x14:colorAxis rgb="FF000000"/>
          <x14:colorMarkers rgb="FFD00000"/>
          <x14:colorFirst rgb="FFD00000"/>
          <x14:colorLast rgb="FFD00000"/>
          <x14:colorHigh rgb="FFD00000"/>
          <x14:colorLow rgb="FFD00000"/>
          <x14:sparklines>
            <x14:sparkline>
              <xm:f>EV!B10:K10</xm:f>
              <xm:sqref>L10</xm:sqref>
            </x14:sparkline>
          </x14:sparklines>
        </x14:sparklineGroup>
        <x14:sparklineGroup displayEmptyCellsAs="gap" xr2:uid="{44E649BC-9A91-344B-B291-413676D00624}">
          <x14:colorSeries rgb="FF376092"/>
          <x14:colorNegative rgb="FFD00000"/>
          <x14:colorAxis rgb="FF000000"/>
          <x14:colorMarkers rgb="FFD00000"/>
          <x14:colorFirst rgb="FFD00000"/>
          <x14:colorLast rgb="FFD00000"/>
          <x14:colorHigh rgb="FFD00000"/>
          <x14:colorLow rgb="FFD00000"/>
          <x14:sparklines>
            <x14:sparkline>
              <xm:f>EV!B25:K25</xm:f>
              <xm:sqref>L25</xm:sqref>
            </x14:sparkline>
          </x14:sparklines>
        </x14:sparklineGroup>
        <x14:sparklineGroup displayEmptyCellsAs="gap" xr2:uid="{C8F79A62-A019-294C-9FAC-D7B529179D54}">
          <x14:colorSeries rgb="FF376092"/>
          <x14:colorNegative rgb="FFD00000"/>
          <x14:colorAxis rgb="FF000000"/>
          <x14:colorMarkers rgb="FFD00000"/>
          <x14:colorFirst rgb="FFD00000"/>
          <x14:colorLast rgb="FFD00000"/>
          <x14:colorHigh rgb="FFD00000"/>
          <x14:colorLow rgb="FFD00000"/>
          <x14:sparklines>
            <x14:sparkline>
              <xm:f>EV!B28:K28</xm:f>
              <xm:sqref>L28</xm:sqref>
            </x14:sparkline>
          </x14:sparklines>
        </x14:sparklineGroup>
      </x14:sparklineGroups>
    </ext>
  </extLst>
</worksheet>
</file>

<file path=docMetadata/LabelInfo.xml><?xml version="1.0" encoding="utf-8"?>
<clbl:labelList xmlns:clbl="http://schemas.microsoft.com/office/2020/mipLabelMetadata">
  <clbl:label id="{c98a79ca-5a9a-4791-a243-f06afd67464d}" enabled="0" method="" siteId="{c98a79ca-5a9a-4791-a243-f06afd67464d}" removed="1"/>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21</vt:i4>
      </vt:variant>
    </vt:vector>
  </HeadingPairs>
  <TitlesOfParts>
    <vt:vector size="21" baseType="lpstr">
      <vt:lpstr>Key Stats</vt:lpstr>
      <vt:lpstr>Income Statement</vt:lpstr>
      <vt:lpstr>Balance Sheet</vt:lpstr>
      <vt:lpstr>Cash Flow</vt:lpstr>
      <vt:lpstr>Operating Assumptions &amp; Proj</vt:lpstr>
      <vt:lpstr>Ratio</vt:lpstr>
      <vt:lpstr>Input</vt:lpstr>
      <vt:lpstr>Dupont ROE</vt:lpstr>
      <vt:lpstr>EV</vt:lpstr>
      <vt:lpstr>AWC</vt:lpstr>
      <vt:lpstr>Debt Capacity</vt:lpstr>
      <vt:lpstr>DC Sensitivity Analysis</vt:lpstr>
      <vt:lpstr>6-Packs of Cash Flow</vt:lpstr>
      <vt:lpstr>Multiples</vt:lpstr>
      <vt:lpstr>Historical Capitalization</vt:lpstr>
      <vt:lpstr>Capital Structure Summary</vt:lpstr>
      <vt:lpstr>Ratios</vt:lpstr>
      <vt:lpstr>Supplemental</vt:lpstr>
      <vt:lpstr>Industry Specific</vt:lpstr>
      <vt:lpstr>Pension OPEB</vt:lpstr>
      <vt:lpstr>Segments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 Xing Lin</dc:creator>
  <cp:lastModifiedBy>#GABRIEL NG ZHI HENG#</cp:lastModifiedBy>
  <dcterms:created xsi:type="dcterms:W3CDTF">2025-06-20T07:11:22Z</dcterms:created>
  <dcterms:modified xsi:type="dcterms:W3CDTF">2025-07-05T16:28:03Z</dcterms:modified>
</cp:coreProperties>
</file>